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1498290\Downloads\"/>
    </mc:Choice>
  </mc:AlternateContent>
  <bookViews>
    <workbookView xWindow="0" yWindow="0" windowWidth="20430" windowHeight="7440"/>
  </bookViews>
  <sheets>
    <sheet name="300925" sheetId="1" r:id="rId1"/>
    <sheet name="310825" sheetId="2" state="hidden" r:id="rId2"/>
    <sheet name="310725" sheetId="3" state="hidden" r:id="rId3"/>
    <sheet name="300625" sheetId="4" state="hidden" r:id="rId4"/>
    <sheet name="310525" sheetId="5" state="hidden" r:id="rId5"/>
    <sheet name="300425" sheetId="6" state="hidden" r:id="rId6"/>
    <sheet name="310325" sheetId="7" state="hidden" r:id="rId7"/>
    <sheet name="310125" sheetId="8" state="hidden" r:id="rId8"/>
    <sheet name="280225" sheetId="9" state="hidden" r:id="rId9"/>
    <sheet name="311224" sheetId="10" state="hidden" r:id="rId10"/>
    <sheet name="301124" sheetId="11" state="hidden" r:id="rId11"/>
    <sheet name="311024" sheetId="12" state="hidden" r:id="rId12"/>
    <sheet name="300924" sheetId="13" state="hidden" r:id="rId13"/>
    <sheet name="310824" sheetId="14" state="hidden" r:id="rId14"/>
    <sheet name="310724" sheetId="15" state="hidden" r:id="rId15"/>
    <sheet name="300624" sheetId="16" state="hidden" r:id="rId16"/>
    <sheet name="310524" sheetId="17" state="hidden" r:id="rId17"/>
    <sheet name="310324" sheetId="18" state="hidden" r:id="rId18"/>
  </sheets>
  <calcPr calcId="162913"/>
  <extLst>
    <ext uri="GoogleSheetsCustomDataVersion2">
      <go:sheetsCustomData xmlns:go="http://customooxmlschemas.google.com/" r:id="rId22" roundtripDataChecksum="mi7MS4wantCi/Px0RBU5c/gYRa5QeREREQwu1gISsA4="/>
    </ext>
  </extLst>
</workbook>
</file>

<file path=xl/calcChain.xml><?xml version="1.0" encoding="utf-8"?>
<calcChain xmlns="http://schemas.openxmlformats.org/spreadsheetml/2006/main">
  <c r="B23" i="18" l="1"/>
  <c r="I22" i="18"/>
  <c r="H22" i="18"/>
  <c r="H23" i="18" s="1"/>
  <c r="F22" i="18"/>
  <c r="E22" i="18"/>
  <c r="C22" i="18"/>
  <c r="B22" i="18"/>
  <c r="J21" i="18"/>
  <c r="G21" i="18"/>
  <c r="D21" i="18"/>
  <c r="J20" i="18"/>
  <c r="G20" i="18"/>
  <c r="D20" i="18"/>
  <c r="J19" i="18"/>
  <c r="G19" i="18"/>
  <c r="D19" i="18"/>
  <c r="D22" i="18" s="1"/>
  <c r="J18" i="18"/>
  <c r="J22" i="18" s="1"/>
  <c r="G18" i="18"/>
  <c r="G22" i="18" s="1"/>
  <c r="D18" i="18"/>
  <c r="H17" i="18"/>
  <c r="F17" i="18"/>
  <c r="F23" i="18" s="1"/>
  <c r="E17" i="18"/>
  <c r="E23" i="18" s="1"/>
  <c r="C17" i="18"/>
  <c r="C23" i="18" s="1"/>
  <c r="B17" i="18"/>
  <c r="I16" i="18"/>
  <c r="J16" i="18" s="1"/>
  <c r="E16" i="18"/>
  <c r="G16" i="18" s="1"/>
  <c r="B16" i="18"/>
  <c r="D16" i="18" s="1"/>
  <c r="J15" i="18"/>
  <c r="G15" i="18"/>
  <c r="D15" i="18"/>
  <c r="J14" i="18"/>
  <c r="G14" i="18"/>
  <c r="D14" i="18"/>
  <c r="J13" i="18"/>
  <c r="G13" i="18"/>
  <c r="D13" i="18"/>
  <c r="J12" i="18"/>
  <c r="G12" i="18"/>
  <c r="D12" i="18"/>
  <c r="J11" i="18"/>
  <c r="G11" i="18"/>
  <c r="D11" i="18"/>
  <c r="J10" i="18"/>
  <c r="G10" i="18"/>
  <c r="D10" i="18"/>
  <c r="J9" i="18"/>
  <c r="G9" i="18"/>
  <c r="G17" i="18" s="1"/>
  <c r="G23" i="18" s="1"/>
  <c r="D9" i="18"/>
  <c r="J8" i="18"/>
  <c r="G8" i="18"/>
  <c r="D8" i="18"/>
  <c r="D7" i="18"/>
  <c r="D6" i="18"/>
  <c r="J5" i="18"/>
  <c r="J17" i="18" s="1"/>
  <c r="I5" i="18"/>
  <c r="G5" i="18"/>
  <c r="D5" i="18"/>
  <c r="I4" i="18"/>
  <c r="I17" i="18" s="1"/>
  <c r="I23" i="18" s="1"/>
  <c r="D4" i="18"/>
  <c r="D17" i="18" s="1"/>
  <c r="D23" i="18" s="1"/>
  <c r="I22" i="17"/>
  <c r="H22" i="17"/>
  <c r="F22" i="17"/>
  <c r="E22" i="17"/>
  <c r="C22" i="17"/>
  <c r="B22" i="17"/>
  <c r="J21" i="17"/>
  <c r="G21" i="17"/>
  <c r="D21" i="17"/>
  <c r="J20" i="17"/>
  <c r="J22" i="17" s="1"/>
  <c r="G20" i="17"/>
  <c r="D20" i="17"/>
  <c r="J19" i="17"/>
  <c r="G19" i="17"/>
  <c r="D19" i="17"/>
  <c r="J18" i="17"/>
  <c r="G18" i="17"/>
  <c r="G22" i="17" s="1"/>
  <c r="D18" i="17"/>
  <c r="D22" i="17" s="1"/>
  <c r="F17" i="17"/>
  <c r="F23" i="17" s="1"/>
  <c r="C17" i="17"/>
  <c r="C23" i="17" s="1"/>
  <c r="J16" i="17"/>
  <c r="H16" i="17"/>
  <c r="H17" i="17" s="1"/>
  <c r="H23" i="17" s="1"/>
  <c r="E16" i="17"/>
  <c r="E17" i="17" s="1"/>
  <c r="E23" i="17" s="1"/>
  <c r="B16" i="17"/>
  <c r="D16" i="17" s="1"/>
  <c r="J15" i="17"/>
  <c r="G15" i="17"/>
  <c r="D15" i="17"/>
  <c r="J14" i="17"/>
  <c r="G14" i="17"/>
  <c r="D14" i="17"/>
  <c r="J13" i="17"/>
  <c r="G13" i="17"/>
  <c r="D13" i="17"/>
  <c r="J12" i="17"/>
  <c r="G12" i="17"/>
  <c r="D12" i="17"/>
  <c r="J11" i="17"/>
  <c r="G11" i="17"/>
  <c r="D11" i="17"/>
  <c r="J10" i="17"/>
  <c r="G10" i="17"/>
  <c r="D10" i="17"/>
  <c r="J9" i="17"/>
  <c r="G9" i="17"/>
  <c r="D9" i="17"/>
  <c r="J8" i="17"/>
  <c r="G8" i="17"/>
  <c r="D8" i="17"/>
  <c r="D7" i="17"/>
  <c r="E6" i="17"/>
  <c r="D6" i="17"/>
  <c r="J5" i="17"/>
  <c r="I5" i="17"/>
  <c r="G5" i="17"/>
  <c r="D5" i="17"/>
  <c r="I4" i="17"/>
  <c r="I17" i="17" s="1"/>
  <c r="I23" i="17" s="1"/>
  <c r="G4" i="17"/>
  <c r="D4" i="17"/>
  <c r="D17" i="17" s="1"/>
  <c r="D23" i="17" s="1"/>
  <c r="H23" i="16"/>
  <c r="I22" i="16"/>
  <c r="H22" i="16"/>
  <c r="F22" i="16"/>
  <c r="E22" i="16"/>
  <c r="D22" i="16"/>
  <c r="C22" i="16"/>
  <c r="B22" i="16"/>
  <c r="J21" i="16"/>
  <c r="G21" i="16"/>
  <c r="D21" i="16"/>
  <c r="J20" i="16"/>
  <c r="J22" i="16" s="1"/>
  <c r="G20" i="16"/>
  <c r="D20" i="16"/>
  <c r="J19" i="16"/>
  <c r="G19" i="16"/>
  <c r="G22" i="16" s="1"/>
  <c r="D19" i="16"/>
  <c r="J18" i="16"/>
  <c r="G18" i="16"/>
  <c r="D18" i="16"/>
  <c r="H17" i="16"/>
  <c r="F17" i="16"/>
  <c r="F23" i="16" s="1"/>
  <c r="C17" i="16"/>
  <c r="C23" i="16" s="1"/>
  <c r="B17" i="16"/>
  <c r="B23" i="16" s="1"/>
  <c r="J16" i="16"/>
  <c r="H16" i="16"/>
  <c r="G16" i="16"/>
  <c r="E16" i="16"/>
  <c r="D16" i="16"/>
  <c r="B16" i="16"/>
  <c r="J15" i="16"/>
  <c r="G15" i="16"/>
  <c r="D15" i="16"/>
  <c r="J14" i="16"/>
  <c r="G14" i="16"/>
  <c r="D14" i="16"/>
  <c r="J13" i="16"/>
  <c r="G13" i="16"/>
  <c r="D13" i="16"/>
  <c r="J12" i="16"/>
  <c r="G12" i="16"/>
  <c r="D12" i="16"/>
  <c r="I11" i="16"/>
  <c r="I17" i="16" s="1"/>
  <c r="I23" i="16" s="1"/>
  <c r="G11" i="16"/>
  <c r="D11" i="16"/>
  <c r="J10" i="16"/>
  <c r="G10" i="16"/>
  <c r="D10" i="16"/>
  <c r="J9" i="16"/>
  <c r="E9" i="16"/>
  <c r="E17" i="16" s="1"/>
  <c r="E23" i="16" s="1"/>
  <c r="D9" i="16"/>
  <c r="J8" i="16"/>
  <c r="G8" i="16"/>
  <c r="D8" i="16"/>
  <c r="D7" i="16"/>
  <c r="D6" i="16"/>
  <c r="J5" i="16"/>
  <c r="I5" i="16"/>
  <c r="G5" i="16"/>
  <c r="D5" i="16"/>
  <c r="J4" i="16"/>
  <c r="I4" i="16"/>
  <c r="G4" i="16"/>
  <c r="D4" i="16"/>
  <c r="D17" i="16" s="1"/>
  <c r="D23" i="16" s="1"/>
  <c r="I22" i="15"/>
  <c r="H22" i="15"/>
  <c r="F22" i="15"/>
  <c r="E22" i="15"/>
  <c r="C22" i="15"/>
  <c r="B22" i="15"/>
  <c r="J21" i="15"/>
  <c r="G21" i="15"/>
  <c r="D21" i="15"/>
  <c r="J20" i="15"/>
  <c r="G20" i="15"/>
  <c r="D20" i="15"/>
  <c r="J19" i="15"/>
  <c r="G19" i="15"/>
  <c r="G22" i="15" s="1"/>
  <c r="D19" i="15"/>
  <c r="J18" i="15"/>
  <c r="J22" i="15" s="1"/>
  <c r="G18" i="15"/>
  <c r="D18" i="15"/>
  <c r="D22" i="15" s="1"/>
  <c r="F17" i="15"/>
  <c r="F23" i="15" s="1"/>
  <c r="E17" i="15"/>
  <c r="E23" i="15" s="1"/>
  <c r="C17" i="15"/>
  <c r="C23" i="15" s="1"/>
  <c r="B17" i="15"/>
  <c r="B23" i="15" s="1"/>
  <c r="H16" i="15"/>
  <c r="J16" i="15" s="1"/>
  <c r="E16" i="15"/>
  <c r="G16" i="15" s="1"/>
  <c r="B16" i="15"/>
  <c r="D16" i="15" s="1"/>
  <c r="J15" i="15"/>
  <c r="G15" i="15"/>
  <c r="D15" i="15"/>
  <c r="J14" i="15"/>
  <c r="G14" i="15"/>
  <c r="D14" i="15"/>
  <c r="J13" i="15"/>
  <c r="G13" i="15"/>
  <c r="D13" i="15"/>
  <c r="J12" i="15"/>
  <c r="G12" i="15"/>
  <c r="D12" i="15"/>
  <c r="I11" i="15"/>
  <c r="J11" i="15" s="1"/>
  <c r="G11" i="15"/>
  <c r="D11" i="15"/>
  <c r="J10" i="15"/>
  <c r="G10" i="15"/>
  <c r="D10" i="15"/>
  <c r="J9" i="15"/>
  <c r="I9" i="15"/>
  <c r="G9" i="15"/>
  <c r="E9" i="15"/>
  <c r="D9" i="15"/>
  <c r="J8" i="15"/>
  <c r="G8" i="15"/>
  <c r="D8" i="15"/>
  <c r="D7" i="15"/>
  <c r="D6" i="15"/>
  <c r="J5" i="15"/>
  <c r="I5" i="15"/>
  <c r="G5" i="15"/>
  <c r="D5" i="15"/>
  <c r="J4" i="15"/>
  <c r="I4" i="15"/>
  <c r="I17" i="15" s="1"/>
  <c r="I23" i="15" s="1"/>
  <c r="G4" i="15"/>
  <c r="G17" i="15" s="1"/>
  <c r="D4" i="15"/>
  <c r="D17" i="15" s="1"/>
  <c r="I22" i="14"/>
  <c r="H22" i="14"/>
  <c r="F22" i="14"/>
  <c r="F23" i="14" s="1"/>
  <c r="E22" i="14"/>
  <c r="C22" i="14"/>
  <c r="B22" i="14"/>
  <c r="J21" i="14"/>
  <c r="G21" i="14"/>
  <c r="D21" i="14"/>
  <c r="J20" i="14"/>
  <c r="G20" i="14"/>
  <c r="D20" i="14"/>
  <c r="J19" i="14"/>
  <c r="G19" i="14"/>
  <c r="G22" i="14" s="1"/>
  <c r="D19" i="14"/>
  <c r="J18" i="14"/>
  <c r="J22" i="14" s="1"/>
  <c r="G18" i="14"/>
  <c r="D18" i="14"/>
  <c r="D22" i="14" s="1"/>
  <c r="F17" i="14"/>
  <c r="C17" i="14"/>
  <c r="C23" i="14" s="1"/>
  <c r="H16" i="14"/>
  <c r="J16" i="14" s="1"/>
  <c r="E16" i="14"/>
  <c r="G16" i="14" s="1"/>
  <c r="B16" i="14"/>
  <c r="B17" i="14" s="1"/>
  <c r="B23" i="14" s="1"/>
  <c r="J15" i="14"/>
  <c r="G15" i="14"/>
  <c r="D15" i="14"/>
  <c r="J14" i="14"/>
  <c r="G14" i="14"/>
  <c r="D14" i="14"/>
  <c r="J13" i="14"/>
  <c r="G13" i="14"/>
  <c r="D13" i="14"/>
  <c r="J12" i="14"/>
  <c r="G12" i="14"/>
  <c r="D12" i="14"/>
  <c r="I11" i="14"/>
  <c r="J11" i="14" s="1"/>
  <c r="G11" i="14"/>
  <c r="D11" i="14"/>
  <c r="J10" i="14"/>
  <c r="G10" i="14"/>
  <c r="D10" i="14"/>
  <c r="J9" i="14"/>
  <c r="I9" i="14"/>
  <c r="G9" i="14"/>
  <c r="E9" i="14"/>
  <c r="D9" i="14"/>
  <c r="J8" i="14"/>
  <c r="G8" i="14"/>
  <c r="D8" i="14"/>
  <c r="D7" i="14"/>
  <c r="D6" i="14"/>
  <c r="I5" i="14"/>
  <c r="J5" i="14" s="1"/>
  <c r="G5" i="14"/>
  <c r="D5" i="14"/>
  <c r="J4" i="14"/>
  <c r="J17" i="14" s="1"/>
  <c r="J23" i="14" s="1"/>
  <c r="I4" i="14"/>
  <c r="I17" i="14" s="1"/>
  <c r="I23" i="14" s="1"/>
  <c r="G4" i="14"/>
  <c r="D4" i="14"/>
  <c r="H23" i="13"/>
  <c r="C23" i="13"/>
  <c r="I22" i="13"/>
  <c r="H22" i="13"/>
  <c r="G22" i="13"/>
  <c r="F22" i="13"/>
  <c r="E22" i="13"/>
  <c r="D22" i="13"/>
  <c r="C22" i="13"/>
  <c r="B22" i="13"/>
  <c r="J21" i="13"/>
  <c r="G21" i="13"/>
  <c r="D21" i="13"/>
  <c r="J20" i="13"/>
  <c r="G20" i="13"/>
  <c r="D20" i="13"/>
  <c r="J19" i="13"/>
  <c r="G19" i="13"/>
  <c r="D19" i="13"/>
  <c r="J18" i="13"/>
  <c r="J22" i="13" s="1"/>
  <c r="G18" i="13"/>
  <c r="D18" i="13"/>
  <c r="I17" i="13"/>
  <c r="I23" i="13" s="1"/>
  <c r="H17" i="13"/>
  <c r="F17" i="13"/>
  <c r="F23" i="13" s="1"/>
  <c r="C17" i="13"/>
  <c r="B17" i="13"/>
  <c r="B23" i="13" s="1"/>
  <c r="J16" i="13"/>
  <c r="H16" i="13"/>
  <c r="E16" i="13"/>
  <c r="G16" i="13" s="1"/>
  <c r="B16" i="13"/>
  <c r="D16" i="13" s="1"/>
  <c r="J15" i="13"/>
  <c r="G15" i="13"/>
  <c r="D15" i="13"/>
  <c r="J14" i="13"/>
  <c r="G14" i="13"/>
  <c r="D14" i="13"/>
  <c r="J13" i="13"/>
  <c r="G13" i="13"/>
  <c r="D13" i="13"/>
  <c r="J12" i="13"/>
  <c r="G12" i="13"/>
  <c r="D12" i="13"/>
  <c r="I11" i="13"/>
  <c r="J11" i="13" s="1"/>
  <c r="G11" i="13"/>
  <c r="D11" i="13"/>
  <c r="J10" i="13"/>
  <c r="G10" i="13"/>
  <c r="D10" i="13"/>
  <c r="I9" i="13"/>
  <c r="J9" i="13" s="1"/>
  <c r="G9" i="13"/>
  <c r="E9" i="13"/>
  <c r="E17" i="13" s="1"/>
  <c r="E23" i="13" s="1"/>
  <c r="D9" i="13"/>
  <c r="J8" i="13"/>
  <c r="G8" i="13"/>
  <c r="D8" i="13"/>
  <c r="J7" i="13"/>
  <c r="D7" i="13"/>
  <c r="J6" i="13"/>
  <c r="D6" i="13"/>
  <c r="D17" i="13" s="1"/>
  <c r="D23" i="13" s="1"/>
  <c r="I5" i="13"/>
  <c r="J5" i="13" s="1"/>
  <c r="G5" i="13"/>
  <c r="D5" i="13"/>
  <c r="J4" i="13"/>
  <c r="I4" i="13"/>
  <c r="G4" i="13"/>
  <c r="G17" i="13" s="1"/>
  <c r="G23" i="13" s="1"/>
  <c r="D4" i="13"/>
  <c r="H23" i="12"/>
  <c r="C23" i="12"/>
  <c r="I22" i="12"/>
  <c r="H22" i="12"/>
  <c r="G22" i="12"/>
  <c r="F22" i="12"/>
  <c r="E22" i="12"/>
  <c r="D22" i="12"/>
  <c r="C22" i="12"/>
  <c r="B22" i="12"/>
  <c r="J21" i="12"/>
  <c r="G21" i="12"/>
  <c r="D21" i="12"/>
  <c r="J20" i="12"/>
  <c r="G20" i="12"/>
  <c r="D20" i="12"/>
  <c r="J19" i="12"/>
  <c r="G19" i="12"/>
  <c r="D19" i="12"/>
  <c r="J18" i="12"/>
  <c r="J22" i="12" s="1"/>
  <c r="G18" i="12"/>
  <c r="D18" i="12"/>
  <c r="I17" i="12"/>
  <c r="I23" i="12" s="1"/>
  <c r="H17" i="12"/>
  <c r="F17" i="12"/>
  <c r="F23" i="12" s="1"/>
  <c r="C17" i="12"/>
  <c r="B17" i="12"/>
  <c r="B23" i="12" s="1"/>
  <c r="J16" i="12"/>
  <c r="H16" i="12"/>
  <c r="E16" i="12"/>
  <c r="G16" i="12" s="1"/>
  <c r="B16" i="12"/>
  <c r="D16" i="12" s="1"/>
  <c r="J15" i="12"/>
  <c r="G15" i="12"/>
  <c r="D15" i="12"/>
  <c r="J14" i="12"/>
  <c r="G14" i="12"/>
  <c r="D14" i="12"/>
  <c r="J13" i="12"/>
  <c r="G13" i="12"/>
  <c r="D13" i="12"/>
  <c r="J12" i="12"/>
  <c r="G12" i="12"/>
  <c r="D12" i="12"/>
  <c r="I11" i="12"/>
  <c r="J11" i="12" s="1"/>
  <c r="G11" i="12"/>
  <c r="D11" i="12"/>
  <c r="J10" i="12"/>
  <c r="G10" i="12"/>
  <c r="D10" i="12"/>
  <c r="I9" i="12"/>
  <c r="J9" i="12" s="1"/>
  <c r="G9" i="12"/>
  <c r="E9" i="12"/>
  <c r="E17" i="12" s="1"/>
  <c r="E23" i="12" s="1"/>
  <c r="D9" i="12"/>
  <c r="J8" i="12"/>
  <c r="G8" i="12"/>
  <c r="D8" i="12"/>
  <c r="J7" i="12"/>
  <c r="D7" i="12"/>
  <c r="J6" i="12"/>
  <c r="D6" i="12"/>
  <c r="D17" i="12" s="1"/>
  <c r="D23" i="12" s="1"/>
  <c r="I5" i="12"/>
  <c r="J5" i="12" s="1"/>
  <c r="G5" i="12"/>
  <c r="D5" i="12"/>
  <c r="J4" i="12"/>
  <c r="I4" i="12"/>
  <c r="G4" i="12"/>
  <c r="G17" i="12" s="1"/>
  <c r="G23" i="12" s="1"/>
  <c r="D4" i="12"/>
  <c r="C23" i="11"/>
  <c r="I22" i="11"/>
  <c r="H22" i="11"/>
  <c r="G22" i="11"/>
  <c r="F22" i="11"/>
  <c r="E22" i="11"/>
  <c r="D22" i="11"/>
  <c r="C22" i="11"/>
  <c r="B22" i="11"/>
  <c r="J21" i="11"/>
  <c r="G21" i="11"/>
  <c r="D21" i="11"/>
  <c r="J20" i="11"/>
  <c r="G20" i="11"/>
  <c r="D20" i="11"/>
  <c r="J19" i="11"/>
  <c r="G19" i="11"/>
  <c r="D19" i="11"/>
  <c r="J18" i="11"/>
  <c r="J22" i="11" s="1"/>
  <c r="G18" i="11"/>
  <c r="D18" i="11"/>
  <c r="F17" i="11"/>
  <c r="F23" i="11" s="1"/>
  <c r="C17" i="11"/>
  <c r="B17" i="11"/>
  <c r="B23" i="11" s="1"/>
  <c r="J16" i="11"/>
  <c r="H16" i="11"/>
  <c r="E16" i="11"/>
  <c r="G16" i="11" s="1"/>
  <c r="B16" i="11"/>
  <c r="D16" i="11" s="1"/>
  <c r="J15" i="11"/>
  <c r="G15" i="11"/>
  <c r="D15" i="11"/>
  <c r="J14" i="11"/>
  <c r="G14" i="11"/>
  <c r="D14" i="11"/>
  <c r="J13" i="11"/>
  <c r="G13" i="11"/>
  <c r="D13" i="11"/>
  <c r="J12" i="11"/>
  <c r="G12" i="11"/>
  <c r="D12" i="11"/>
  <c r="I11" i="11"/>
  <c r="J11" i="11" s="1"/>
  <c r="G11" i="11"/>
  <c r="D11" i="11"/>
  <c r="J10" i="11"/>
  <c r="G10" i="11"/>
  <c r="D10" i="11"/>
  <c r="I9" i="11"/>
  <c r="J9" i="11" s="1"/>
  <c r="G9" i="11"/>
  <c r="E9" i="11"/>
  <c r="E17" i="11" s="1"/>
  <c r="E23" i="11" s="1"/>
  <c r="D9" i="11"/>
  <c r="J8" i="11"/>
  <c r="G8" i="11"/>
  <c r="D8" i="11"/>
  <c r="J7" i="11"/>
  <c r="D7" i="11"/>
  <c r="H6" i="11"/>
  <c r="H17" i="11" s="1"/>
  <c r="H23" i="11" s="1"/>
  <c r="D6" i="11"/>
  <c r="I5" i="11"/>
  <c r="J5" i="11" s="1"/>
  <c r="G5" i="11"/>
  <c r="D5" i="11"/>
  <c r="J4" i="11"/>
  <c r="I4" i="11"/>
  <c r="G4" i="11"/>
  <c r="G17" i="11" s="1"/>
  <c r="G23" i="11" s="1"/>
  <c r="D4" i="11"/>
  <c r="D17" i="11" s="1"/>
  <c r="D23" i="11" s="1"/>
  <c r="I23" i="10"/>
  <c r="I22" i="10"/>
  <c r="H22" i="10"/>
  <c r="F22" i="10"/>
  <c r="E22" i="10"/>
  <c r="C22" i="10"/>
  <c r="B22" i="10"/>
  <c r="J21" i="10"/>
  <c r="G21" i="10"/>
  <c r="D21" i="10"/>
  <c r="J20" i="10"/>
  <c r="G20" i="10"/>
  <c r="D20" i="10"/>
  <c r="J19" i="10"/>
  <c r="G19" i="10"/>
  <c r="G22" i="10" s="1"/>
  <c r="D19" i="10"/>
  <c r="J18" i="10"/>
  <c r="J22" i="10" s="1"/>
  <c r="G18" i="10"/>
  <c r="D18" i="10"/>
  <c r="D22" i="10" s="1"/>
  <c r="I17" i="10"/>
  <c r="F17" i="10"/>
  <c r="F23" i="10" s="1"/>
  <c r="C17" i="10"/>
  <c r="C23" i="10" s="1"/>
  <c r="B17" i="10"/>
  <c r="B23" i="10" s="1"/>
  <c r="H16" i="10"/>
  <c r="J16" i="10" s="1"/>
  <c r="G16" i="10"/>
  <c r="E16" i="10"/>
  <c r="D16" i="10"/>
  <c r="B16" i="10"/>
  <c r="J15" i="10"/>
  <c r="G15" i="10"/>
  <c r="D15" i="10"/>
  <c r="J14" i="10"/>
  <c r="G14" i="10"/>
  <c r="D14" i="10"/>
  <c r="J13" i="10"/>
  <c r="G13" i="10"/>
  <c r="D13" i="10"/>
  <c r="J12" i="10"/>
  <c r="G12" i="10"/>
  <c r="D12" i="10"/>
  <c r="I11" i="10"/>
  <c r="J11" i="10" s="1"/>
  <c r="G11" i="10"/>
  <c r="D11" i="10"/>
  <c r="J10" i="10"/>
  <c r="G10" i="10"/>
  <c r="D10" i="10"/>
  <c r="I9" i="10"/>
  <c r="J9" i="10" s="1"/>
  <c r="E9" i="10"/>
  <c r="G9" i="10" s="1"/>
  <c r="D9" i="10"/>
  <c r="J8" i="10"/>
  <c r="G8" i="10"/>
  <c r="D8" i="10"/>
  <c r="J7" i="10"/>
  <c r="D7" i="10"/>
  <c r="J6" i="10"/>
  <c r="H6" i="10"/>
  <c r="H17" i="10" s="1"/>
  <c r="H23" i="10" s="1"/>
  <c r="D6" i="10"/>
  <c r="J5" i="10"/>
  <c r="I5" i="10"/>
  <c r="G5" i="10"/>
  <c r="D5" i="10"/>
  <c r="I4" i="10"/>
  <c r="J4" i="10" s="1"/>
  <c r="J17" i="10" s="1"/>
  <c r="J23" i="10" s="1"/>
  <c r="G4" i="10"/>
  <c r="G17" i="10" s="1"/>
  <c r="G23" i="10" s="1"/>
  <c r="D4" i="10"/>
  <c r="D17" i="10" s="1"/>
  <c r="D23" i="10" s="1"/>
  <c r="I22" i="9"/>
  <c r="H22" i="9"/>
  <c r="F22" i="9"/>
  <c r="F23" i="9" s="1"/>
  <c r="E22" i="9"/>
  <c r="C22" i="9"/>
  <c r="B22" i="9"/>
  <c r="J21" i="9"/>
  <c r="G21" i="9"/>
  <c r="D21" i="9"/>
  <c r="J20" i="9"/>
  <c r="G20" i="9"/>
  <c r="D20" i="9"/>
  <c r="J19" i="9"/>
  <c r="G19" i="9"/>
  <c r="G22" i="9" s="1"/>
  <c r="D19" i="9"/>
  <c r="J18" i="9"/>
  <c r="J22" i="9" s="1"/>
  <c r="G18" i="9"/>
  <c r="D18" i="9"/>
  <c r="D22" i="9" s="1"/>
  <c r="F17" i="9"/>
  <c r="C17" i="9"/>
  <c r="C23" i="9" s="1"/>
  <c r="H16" i="9"/>
  <c r="J16" i="9" s="1"/>
  <c r="E16" i="9"/>
  <c r="G16" i="9" s="1"/>
  <c r="D16" i="9"/>
  <c r="B16" i="9"/>
  <c r="B17" i="9" s="1"/>
  <c r="B23" i="9" s="1"/>
  <c r="J15" i="9"/>
  <c r="G15" i="9"/>
  <c r="D15" i="9"/>
  <c r="J14" i="9"/>
  <c r="G14" i="9"/>
  <c r="D14" i="9"/>
  <c r="J13" i="9"/>
  <c r="G13" i="9"/>
  <c r="D13" i="9"/>
  <c r="J12" i="9"/>
  <c r="G12" i="9"/>
  <c r="D12" i="9"/>
  <c r="I11" i="9"/>
  <c r="J11" i="9" s="1"/>
  <c r="G11" i="9"/>
  <c r="D11" i="9"/>
  <c r="J10" i="9"/>
  <c r="G10" i="9"/>
  <c r="D10" i="9"/>
  <c r="J9" i="9"/>
  <c r="I9" i="9"/>
  <c r="G9" i="9"/>
  <c r="E9" i="9"/>
  <c r="D9" i="9"/>
  <c r="J8" i="9"/>
  <c r="G8" i="9"/>
  <c r="D8" i="9"/>
  <c r="J7" i="9"/>
  <c r="D7" i="9"/>
  <c r="H6" i="9"/>
  <c r="J6" i="9" s="1"/>
  <c r="D6" i="9"/>
  <c r="I5" i="9"/>
  <c r="J5" i="9" s="1"/>
  <c r="G5" i="9"/>
  <c r="D5" i="9"/>
  <c r="I4" i="9"/>
  <c r="I17" i="9" s="1"/>
  <c r="I23" i="9" s="1"/>
  <c r="G4" i="9"/>
  <c r="G17" i="9" s="1"/>
  <c r="D4" i="9"/>
  <c r="D17" i="9" s="1"/>
  <c r="D23" i="9" s="1"/>
  <c r="I22" i="8"/>
  <c r="H22" i="8"/>
  <c r="G22" i="8"/>
  <c r="F22" i="8"/>
  <c r="E22" i="8"/>
  <c r="C22" i="8"/>
  <c r="B22" i="8"/>
  <c r="J21" i="8"/>
  <c r="G21" i="8"/>
  <c r="D21" i="8"/>
  <c r="J20" i="8"/>
  <c r="G20" i="8"/>
  <c r="D20" i="8"/>
  <c r="J19" i="8"/>
  <c r="G19" i="8"/>
  <c r="D19" i="8"/>
  <c r="J18" i="8"/>
  <c r="J22" i="8" s="1"/>
  <c r="G18" i="8"/>
  <c r="D18" i="8"/>
  <c r="D22" i="8" s="1"/>
  <c r="F17" i="8"/>
  <c r="F23" i="8" s="1"/>
  <c r="E17" i="8"/>
  <c r="E23" i="8" s="1"/>
  <c r="C17" i="8"/>
  <c r="C23" i="8" s="1"/>
  <c r="B17" i="8"/>
  <c r="B23" i="8" s="1"/>
  <c r="J16" i="8"/>
  <c r="H16" i="8"/>
  <c r="G16" i="8"/>
  <c r="E16" i="8"/>
  <c r="D16" i="8"/>
  <c r="B16" i="8"/>
  <c r="J15" i="8"/>
  <c r="G15" i="8"/>
  <c r="D15" i="8"/>
  <c r="J14" i="8"/>
  <c r="G14" i="8"/>
  <c r="D14" i="8"/>
  <c r="J13" i="8"/>
  <c r="G13" i="8"/>
  <c r="D13" i="8"/>
  <c r="J12" i="8"/>
  <c r="G12" i="8"/>
  <c r="D12" i="8"/>
  <c r="J11" i="8"/>
  <c r="I11" i="8"/>
  <c r="G11" i="8"/>
  <c r="D11" i="8"/>
  <c r="J10" i="8"/>
  <c r="G10" i="8"/>
  <c r="D10" i="8"/>
  <c r="I9" i="8"/>
  <c r="J9" i="8" s="1"/>
  <c r="E9" i="8"/>
  <c r="G9" i="8" s="1"/>
  <c r="D9" i="8"/>
  <c r="J8" i="8"/>
  <c r="G8" i="8"/>
  <c r="D8" i="8"/>
  <c r="J7" i="8"/>
  <c r="D7" i="8"/>
  <c r="H6" i="8"/>
  <c r="J6" i="8" s="1"/>
  <c r="D6" i="8"/>
  <c r="J5" i="8"/>
  <c r="I5" i="8"/>
  <c r="G5" i="8"/>
  <c r="D5" i="8"/>
  <c r="J4" i="8"/>
  <c r="I4" i="8"/>
  <c r="I17" i="8" s="1"/>
  <c r="I23" i="8" s="1"/>
  <c r="G4" i="8"/>
  <c r="D4" i="8"/>
  <c r="D17" i="8" s="1"/>
  <c r="I22" i="7"/>
  <c r="H22" i="7"/>
  <c r="F22" i="7"/>
  <c r="E22" i="7"/>
  <c r="C22" i="7"/>
  <c r="B22" i="7"/>
  <c r="J21" i="7"/>
  <c r="G21" i="7"/>
  <c r="D21" i="7"/>
  <c r="J20" i="7"/>
  <c r="J22" i="7" s="1"/>
  <c r="G20" i="7"/>
  <c r="D20" i="7"/>
  <c r="J19" i="7"/>
  <c r="G19" i="7"/>
  <c r="D19" i="7"/>
  <c r="D22" i="7" s="1"/>
  <c r="J18" i="7"/>
  <c r="G18" i="7"/>
  <c r="G22" i="7" s="1"/>
  <c r="D18" i="7"/>
  <c r="F17" i="7"/>
  <c r="F23" i="7" s="1"/>
  <c r="E17" i="7"/>
  <c r="E23" i="7" s="1"/>
  <c r="C17" i="7"/>
  <c r="C23" i="7" s="1"/>
  <c r="B17" i="7"/>
  <c r="B23" i="7" s="1"/>
  <c r="H16" i="7"/>
  <c r="J16" i="7" s="1"/>
  <c r="E16" i="7"/>
  <c r="G16" i="7" s="1"/>
  <c r="B16" i="7"/>
  <c r="D16" i="7" s="1"/>
  <c r="J15" i="7"/>
  <c r="G15" i="7"/>
  <c r="D15" i="7"/>
  <c r="J14" i="7"/>
  <c r="G14" i="7"/>
  <c r="D14" i="7"/>
  <c r="J13" i="7"/>
  <c r="G13" i="7"/>
  <c r="D13" i="7"/>
  <c r="J12" i="7"/>
  <c r="G12" i="7"/>
  <c r="D12" i="7"/>
  <c r="I11" i="7"/>
  <c r="J11" i="7" s="1"/>
  <c r="G11" i="7"/>
  <c r="D11" i="7"/>
  <c r="J10" i="7"/>
  <c r="G10" i="7"/>
  <c r="D10" i="7"/>
  <c r="J9" i="7"/>
  <c r="I9" i="7"/>
  <c r="E9" i="7"/>
  <c r="G9" i="7" s="1"/>
  <c r="D9" i="7"/>
  <c r="J8" i="7"/>
  <c r="G8" i="7"/>
  <c r="D8" i="7"/>
  <c r="J7" i="7"/>
  <c r="D7" i="7"/>
  <c r="J6" i="7"/>
  <c r="D6" i="7"/>
  <c r="J5" i="7"/>
  <c r="I5" i="7"/>
  <c r="G5" i="7"/>
  <c r="D5" i="7"/>
  <c r="J4" i="7"/>
  <c r="J17" i="7" s="1"/>
  <c r="J23" i="7" s="1"/>
  <c r="I4" i="7"/>
  <c r="I17" i="7" s="1"/>
  <c r="I23" i="7" s="1"/>
  <c r="G4" i="7"/>
  <c r="D4" i="7"/>
  <c r="D17" i="7" s="1"/>
  <c r="I22" i="6"/>
  <c r="H22" i="6"/>
  <c r="F22" i="6"/>
  <c r="E22" i="6"/>
  <c r="C22" i="6"/>
  <c r="B22" i="6"/>
  <c r="J21" i="6"/>
  <c r="G21" i="6"/>
  <c r="D21" i="6"/>
  <c r="J20" i="6"/>
  <c r="J22" i="6" s="1"/>
  <c r="G20" i="6"/>
  <c r="D20" i="6"/>
  <c r="J19" i="6"/>
  <c r="G19" i="6"/>
  <c r="D19" i="6"/>
  <c r="D22" i="6" s="1"/>
  <c r="J18" i="6"/>
  <c r="G18" i="6"/>
  <c r="G22" i="6" s="1"/>
  <c r="D18" i="6"/>
  <c r="F17" i="6"/>
  <c r="F23" i="6" s="1"/>
  <c r="E17" i="6"/>
  <c r="E23" i="6" s="1"/>
  <c r="C17" i="6"/>
  <c r="C23" i="6" s="1"/>
  <c r="B17" i="6"/>
  <c r="B23" i="6" s="1"/>
  <c r="H16" i="6"/>
  <c r="J16" i="6" s="1"/>
  <c r="G16" i="6"/>
  <c r="E16" i="6"/>
  <c r="B16" i="6"/>
  <c r="D16" i="6" s="1"/>
  <c r="J15" i="6"/>
  <c r="G15" i="6"/>
  <c r="D15" i="6"/>
  <c r="J14" i="6"/>
  <c r="G14" i="6"/>
  <c r="D14" i="6"/>
  <c r="J13" i="6"/>
  <c r="G13" i="6"/>
  <c r="D13" i="6"/>
  <c r="J12" i="6"/>
  <c r="G12" i="6"/>
  <c r="D12" i="6"/>
  <c r="I11" i="6"/>
  <c r="J11" i="6" s="1"/>
  <c r="G11" i="6"/>
  <c r="D11" i="6"/>
  <c r="J10" i="6"/>
  <c r="G10" i="6"/>
  <c r="D10" i="6"/>
  <c r="J9" i="6"/>
  <c r="I9" i="6"/>
  <c r="E9" i="6"/>
  <c r="G9" i="6" s="1"/>
  <c r="D9" i="6"/>
  <c r="J8" i="6"/>
  <c r="G8" i="6"/>
  <c r="D8" i="6"/>
  <c r="D7" i="6"/>
  <c r="D6" i="6"/>
  <c r="J5" i="6"/>
  <c r="I5" i="6"/>
  <c r="G5" i="6"/>
  <c r="D5" i="6"/>
  <c r="I4" i="6"/>
  <c r="J4" i="6" s="1"/>
  <c r="G4" i="6"/>
  <c r="G17" i="6" s="1"/>
  <c r="D4" i="6"/>
  <c r="I22" i="5"/>
  <c r="H22" i="5"/>
  <c r="F22" i="5"/>
  <c r="F23" i="5" s="1"/>
  <c r="E22" i="5"/>
  <c r="C22" i="5"/>
  <c r="B22" i="5"/>
  <c r="J21" i="5"/>
  <c r="G21" i="5"/>
  <c r="D21" i="5"/>
  <c r="J20" i="5"/>
  <c r="G20" i="5"/>
  <c r="D20" i="5"/>
  <c r="J19" i="5"/>
  <c r="G19" i="5"/>
  <c r="G22" i="5" s="1"/>
  <c r="D19" i="5"/>
  <c r="J18" i="5"/>
  <c r="J22" i="5" s="1"/>
  <c r="G18" i="5"/>
  <c r="D18" i="5"/>
  <c r="D22" i="5" s="1"/>
  <c r="F17" i="5"/>
  <c r="C17" i="5"/>
  <c r="C23" i="5" s="1"/>
  <c r="H16" i="5"/>
  <c r="J16" i="5" s="1"/>
  <c r="E16" i="5"/>
  <c r="G16" i="5" s="1"/>
  <c r="B16" i="5"/>
  <c r="B17" i="5" s="1"/>
  <c r="B23" i="5" s="1"/>
  <c r="J15" i="5"/>
  <c r="G15" i="5"/>
  <c r="D15" i="5"/>
  <c r="J14" i="5"/>
  <c r="G14" i="5"/>
  <c r="D14" i="5"/>
  <c r="J13" i="5"/>
  <c r="G13" i="5"/>
  <c r="D13" i="5"/>
  <c r="J12" i="5"/>
  <c r="G12" i="5"/>
  <c r="D12" i="5"/>
  <c r="I11" i="5"/>
  <c r="J11" i="5" s="1"/>
  <c r="G11" i="5"/>
  <c r="D11" i="5"/>
  <c r="J10" i="5"/>
  <c r="G10" i="5"/>
  <c r="D10" i="5"/>
  <c r="J9" i="5"/>
  <c r="I9" i="5"/>
  <c r="G9" i="5"/>
  <c r="E9" i="5"/>
  <c r="D9" i="5"/>
  <c r="J8" i="5"/>
  <c r="G8" i="5"/>
  <c r="D8" i="5"/>
  <c r="D7" i="5"/>
  <c r="D6" i="5"/>
  <c r="I5" i="5"/>
  <c r="J5" i="5" s="1"/>
  <c r="G5" i="5"/>
  <c r="D5" i="5"/>
  <c r="J4" i="5"/>
  <c r="I4" i="5"/>
  <c r="I17" i="5" s="1"/>
  <c r="I23" i="5" s="1"/>
  <c r="G4" i="5"/>
  <c r="G17" i="5" s="1"/>
  <c r="D4" i="5"/>
  <c r="H23" i="4"/>
  <c r="I22" i="4"/>
  <c r="H22" i="4"/>
  <c r="G22" i="4"/>
  <c r="F22" i="4"/>
  <c r="E22" i="4"/>
  <c r="D22" i="4"/>
  <c r="C22" i="4"/>
  <c r="B22" i="4"/>
  <c r="J21" i="4"/>
  <c r="G21" i="4"/>
  <c r="D21" i="4"/>
  <c r="J20" i="4"/>
  <c r="G20" i="4"/>
  <c r="D20" i="4"/>
  <c r="J19" i="4"/>
  <c r="G19" i="4"/>
  <c r="D19" i="4"/>
  <c r="J18" i="4"/>
  <c r="J22" i="4" s="1"/>
  <c r="G18" i="4"/>
  <c r="D18" i="4"/>
  <c r="H17" i="4"/>
  <c r="F17" i="4"/>
  <c r="F23" i="4" s="1"/>
  <c r="C17" i="4"/>
  <c r="C23" i="4" s="1"/>
  <c r="B17" i="4"/>
  <c r="B23" i="4" s="1"/>
  <c r="J16" i="4"/>
  <c r="H16" i="4"/>
  <c r="E16" i="4"/>
  <c r="G16" i="4" s="1"/>
  <c r="B16" i="4"/>
  <c r="D16" i="4" s="1"/>
  <c r="J15" i="4"/>
  <c r="G15" i="4"/>
  <c r="D15" i="4"/>
  <c r="J14" i="4"/>
  <c r="G14" i="4"/>
  <c r="D14" i="4"/>
  <c r="J13" i="4"/>
  <c r="G13" i="4"/>
  <c r="D13" i="4"/>
  <c r="J12" i="4"/>
  <c r="G12" i="4"/>
  <c r="D12" i="4"/>
  <c r="I11" i="4"/>
  <c r="J11" i="4" s="1"/>
  <c r="G11" i="4"/>
  <c r="D11" i="4"/>
  <c r="J10" i="4"/>
  <c r="G10" i="4"/>
  <c r="D10" i="4"/>
  <c r="I9" i="4"/>
  <c r="J9" i="4" s="1"/>
  <c r="G9" i="4"/>
  <c r="E9" i="4"/>
  <c r="E17" i="4" s="1"/>
  <c r="E23" i="4" s="1"/>
  <c r="D9" i="4"/>
  <c r="J8" i="4"/>
  <c r="G8" i="4"/>
  <c r="D8" i="4"/>
  <c r="D7" i="4"/>
  <c r="D6" i="4"/>
  <c r="I5" i="4"/>
  <c r="J5" i="4" s="1"/>
  <c r="G5" i="4"/>
  <c r="D5" i="4"/>
  <c r="J4" i="4"/>
  <c r="I4" i="4"/>
  <c r="I17" i="4" s="1"/>
  <c r="I23" i="4" s="1"/>
  <c r="G4" i="4"/>
  <c r="D4" i="4"/>
  <c r="I23" i="3"/>
  <c r="H23" i="3"/>
  <c r="G23" i="3"/>
  <c r="F23" i="3"/>
  <c r="E23" i="3"/>
  <c r="C23" i="3"/>
  <c r="B23" i="3"/>
  <c r="N22" i="3"/>
  <c r="J22" i="3"/>
  <c r="G22" i="3"/>
  <c r="D22" i="3"/>
  <c r="J21" i="3"/>
  <c r="N21" i="3" s="1"/>
  <c r="G21" i="3"/>
  <c r="D21" i="3"/>
  <c r="J20" i="3"/>
  <c r="N20" i="3" s="1"/>
  <c r="G20" i="3"/>
  <c r="D20" i="3"/>
  <c r="D23" i="3" s="1"/>
  <c r="N19" i="3"/>
  <c r="J19" i="3"/>
  <c r="G19" i="3"/>
  <c r="D19" i="3"/>
  <c r="I18" i="3"/>
  <c r="I24" i="3" s="1"/>
  <c r="F18" i="3"/>
  <c r="F24" i="3" s="1"/>
  <c r="C18" i="3"/>
  <c r="C24" i="3" s="1"/>
  <c r="N17" i="3"/>
  <c r="J17" i="3"/>
  <c r="H17" i="3"/>
  <c r="H18" i="3" s="1"/>
  <c r="H24" i="3" s="1"/>
  <c r="E17" i="3"/>
  <c r="E18" i="3" s="1"/>
  <c r="E24" i="3" s="1"/>
  <c r="B17" i="3"/>
  <c r="D17" i="3" s="1"/>
  <c r="J16" i="3"/>
  <c r="G16" i="3"/>
  <c r="D16" i="3"/>
  <c r="J15" i="3"/>
  <c r="G15" i="3"/>
  <c r="D15" i="3"/>
  <c r="N14" i="3"/>
  <c r="J14" i="3"/>
  <c r="G14" i="3"/>
  <c r="D14" i="3"/>
  <c r="J13" i="3"/>
  <c r="G13" i="3"/>
  <c r="D13" i="3"/>
  <c r="J12" i="3"/>
  <c r="G12" i="3"/>
  <c r="D12" i="3"/>
  <c r="J11" i="3"/>
  <c r="I11" i="3"/>
  <c r="G11" i="3"/>
  <c r="D11" i="3"/>
  <c r="J10" i="3"/>
  <c r="G10" i="3"/>
  <c r="D10" i="3"/>
  <c r="N9" i="3"/>
  <c r="J9" i="3"/>
  <c r="I9" i="3"/>
  <c r="G9" i="3"/>
  <c r="E9" i="3"/>
  <c r="D9" i="3"/>
  <c r="J8" i="3"/>
  <c r="G8" i="3"/>
  <c r="D8" i="3"/>
  <c r="N7" i="3"/>
  <c r="N18" i="3" s="1"/>
  <c r="D7" i="3"/>
  <c r="N6" i="3"/>
  <c r="D6" i="3"/>
  <c r="J5" i="3"/>
  <c r="I5" i="3"/>
  <c r="G5" i="3"/>
  <c r="D5" i="3"/>
  <c r="N4" i="3"/>
  <c r="I4" i="3"/>
  <c r="J4" i="3" s="1"/>
  <c r="J18" i="3" s="1"/>
  <c r="G4" i="3"/>
  <c r="D4" i="3"/>
  <c r="J23" i="2"/>
  <c r="I23" i="2"/>
  <c r="H23" i="2"/>
  <c r="F23" i="2"/>
  <c r="E23" i="2"/>
  <c r="C23" i="2"/>
  <c r="B23" i="2"/>
  <c r="O22" i="2"/>
  <c r="J22" i="2"/>
  <c r="G22" i="2"/>
  <c r="D22" i="2"/>
  <c r="J21" i="2"/>
  <c r="O21" i="2" s="1"/>
  <c r="O23" i="2" s="1"/>
  <c r="O24" i="2" s="1"/>
  <c r="G21" i="2"/>
  <c r="D21" i="2"/>
  <c r="O20" i="2"/>
  <c r="J20" i="2"/>
  <c r="G20" i="2"/>
  <c r="D20" i="2"/>
  <c r="O19" i="2"/>
  <c r="J19" i="2"/>
  <c r="G19" i="2"/>
  <c r="G23" i="2" s="1"/>
  <c r="D19" i="2"/>
  <c r="D23" i="2" s="1"/>
  <c r="H18" i="2"/>
  <c r="H24" i="2" s="1"/>
  <c r="F18" i="2"/>
  <c r="F24" i="2" s="1"/>
  <c r="C18" i="2"/>
  <c r="C24" i="2" s="1"/>
  <c r="O17" i="2"/>
  <c r="J17" i="2"/>
  <c r="H17" i="2"/>
  <c r="E17" i="2"/>
  <c r="G17" i="2" s="1"/>
  <c r="B17" i="2"/>
  <c r="D17" i="2" s="1"/>
  <c r="J16" i="2"/>
  <c r="G16" i="2"/>
  <c r="D16" i="2"/>
  <c r="J15" i="2"/>
  <c r="G15" i="2"/>
  <c r="D15" i="2"/>
  <c r="O14" i="2"/>
  <c r="J14" i="2"/>
  <c r="G14" i="2"/>
  <c r="D14" i="2"/>
  <c r="J13" i="2"/>
  <c r="G13" i="2"/>
  <c r="D13" i="2"/>
  <c r="J12" i="2"/>
  <c r="G12" i="2"/>
  <c r="D12" i="2"/>
  <c r="I11" i="2"/>
  <c r="I18" i="2" s="1"/>
  <c r="I24" i="2" s="1"/>
  <c r="G11" i="2"/>
  <c r="D11" i="2"/>
  <c r="J10" i="2"/>
  <c r="G10" i="2"/>
  <c r="D10" i="2"/>
  <c r="O9" i="2"/>
  <c r="I9" i="2"/>
  <c r="J9" i="2" s="1"/>
  <c r="H9" i="2"/>
  <c r="E9" i="2"/>
  <c r="G9" i="2" s="1"/>
  <c r="G18" i="2" s="1"/>
  <c r="G24" i="2" s="1"/>
  <c r="D9" i="2"/>
  <c r="J8" i="2"/>
  <c r="G8" i="2"/>
  <c r="D8" i="2"/>
  <c r="O7" i="2"/>
  <c r="D7" i="2"/>
  <c r="O6" i="2"/>
  <c r="D6" i="2"/>
  <c r="J5" i="2"/>
  <c r="I5" i="2"/>
  <c r="G5" i="2"/>
  <c r="D5" i="2"/>
  <c r="O4" i="2"/>
  <c r="O18" i="2" s="1"/>
  <c r="J4" i="2"/>
  <c r="I4" i="2"/>
  <c r="G4" i="2"/>
  <c r="D4" i="2"/>
  <c r="D18" i="2" s="1"/>
  <c r="D24" i="2" s="1"/>
  <c r="C24" i="1"/>
  <c r="I23" i="1"/>
  <c r="H23" i="1"/>
  <c r="F23" i="1"/>
  <c r="E23" i="1"/>
  <c r="C23" i="1"/>
  <c r="B23" i="1"/>
  <c r="J22" i="1"/>
  <c r="G22" i="1"/>
  <c r="D22" i="1"/>
  <c r="J21" i="1"/>
  <c r="G21" i="1"/>
  <c r="D21" i="1"/>
  <c r="J20" i="1"/>
  <c r="G20" i="1"/>
  <c r="G23" i="1" s="1"/>
  <c r="D20" i="1"/>
  <c r="J19" i="1"/>
  <c r="J23" i="1" s="1"/>
  <c r="G19" i="1"/>
  <c r="D19" i="1"/>
  <c r="D23" i="1" s="1"/>
  <c r="H18" i="1"/>
  <c r="H24" i="1" s="1"/>
  <c r="F18" i="1"/>
  <c r="F24" i="1" s="1"/>
  <c r="C18" i="1"/>
  <c r="H17" i="1"/>
  <c r="J17" i="1" s="1"/>
  <c r="E17" i="1"/>
  <c r="G17" i="1" s="1"/>
  <c r="B17" i="1"/>
  <c r="D17" i="1" s="1"/>
  <c r="J16" i="1"/>
  <c r="G16" i="1"/>
  <c r="D16" i="1"/>
  <c r="J15" i="1"/>
  <c r="G15" i="1"/>
  <c r="D15" i="1"/>
  <c r="J14" i="1"/>
  <c r="G14" i="1"/>
  <c r="D14" i="1"/>
  <c r="J13" i="1"/>
  <c r="G13" i="1"/>
  <c r="D13" i="1"/>
  <c r="J12" i="1"/>
  <c r="G12" i="1"/>
  <c r="D12" i="1"/>
  <c r="I11" i="1"/>
  <c r="J11" i="1" s="1"/>
  <c r="G11" i="1"/>
  <c r="D11" i="1"/>
  <c r="J10" i="1"/>
  <c r="G10" i="1"/>
  <c r="D10" i="1"/>
  <c r="I9" i="1"/>
  <c r="J9" i="1" s="1"/>
  <c r="H9" i="1"/>
  <c r="E9" i="1"/>
  <c r="G9" i="1" s="1"/>
  <c r="D9" i="1"/>
  <c r="J8" i="1"/>
  <c r="G8" i="1"/>
  <c r="D8" i="1"/>
  <c r="D7" i="1"/>
  <c r="D6" i="1"/>
  <c r="I5" i="1"/>
  <c r="I18" i="1" s="1"/>
  <c r="I24" i="1" s="1"/>
  <c r="G5" i="1"/>
  <c r="D5" i="1"/>
  <c r="I4" i="1"/>
  <c r="J4" i="1" s="1"/>
  <c r="G4" i="1"/>
  <c r="D4" i="1"/>
  <c r="D18" i="1" s="1"/>
  <c r="D24" i="1" s="1"/>
  <c r="D17" i="4" l="1"/>
  <c r="D23" i="4" s="1"/>
  <c r="J17" i="12"/>
  <c r="J23" i="12" s="1"/>
  <c r="G17" i="14"/>
  <c r="G23" i="14" s="1"/>
  <c r="J17" i="15"/>
  <c r="J23" i="15" s="1"/>
  <c r="D17" i="5"/>
  <c r="D23" i="5" s="1"/>
  <c r="G23" i="9"/>
  <c r="D18" i="3"/>
  <c r="D24" i="3" s="1"/>
  <c r="D17" i="6"/>
  <c r="D23" i="6" s="1"/>
  <c r="D23" i="7"/>
  <c r="J23" i="18"/>
  <c r="G18" i="1"/>
  <c r="G24" i="1" s="1"/>
  <c r="G23" i="6"/>
  <c r="G17" i="7"/>
  <c r="G23" i="7" s="1"/>
  <c r="G17" i="4"/>
  <c r="G23" i="4" s="1"/>
  <c r="J17" i="4"/>
  <c r="J23" i="4" s="1"/>
  <c r="J17" i="6"/>
  <c r="J23" i="6" s="1"/>
  <c r="D23" i="8"/>
  <c r="J17" i="13"/>
  <c r="J23" i="13" s="1"/>
  <c r="G23" i="5"/>
  <c r="G17" i="8"/>
  <c r="G23" i="8" s="1"/>
  <c r="D23" i="15"/>
  <c r="J18" i="1"/>
  <c r="J24" i="1" s="1"/>
  <c r="J18" i="2"/>
  <c r="J24" i="2" s="1"/>
  <c r="O25" i="2" s="1"/>
  <c r="N23" i="3"/>
  <c r="N24" i="3" s="1"/>
  <c r="J17" i="5"/>
  <c r="J23" i="5" s="1"/>
  <c r="J17" i="8"/>
  <c r="J23" i="8" s="1"/>
  <c r="G23" i="15"/>
  <c r="J6" i="11"/>
  <c r="J17" i="11" s="1"/>
  <c r="J23" i="11" s="1"/>
  <c r="J5" i="1"/>
  <c r="J11" i="2"/>
  <c r="B18" i="2"/>
  <c r="B24" i="2" s="1"/>
  <c r="E17" i="5"/>
  <c r="E23" i="5" s="1"/>
  <c r="E17" i="9"/>
  <c r="E23" i="9" s="1"/>
  <c r="E17" i="14"/>
  <c r="E23" i="14" s="1"/>
  <c r="J4" i="17"/>
  <c r="J17" i="17" s="1"/>
  <c r="J23" i="17" s="1"/>
  <c r="G17" i="3"/>
  <c r="G18" i="3" s="1"/>
  <c r="G24" i="3" s="1"/>
  <c r="J11" i="16"/>
  <c r="J17" i="16" s="1"/>
  <c r="J23" i="16" s="1"/>
  <c r="G16" i="17"/>
  <c r="G17" i="17" s="1"/>
  <c r="G23" i="17" s="1"/>
  <c r="H17" i="6"/>
  <c r="H23" i="6" s="1"/>
  <c r="H17" i="7"/>
  <c r="H23" i="7" s="1"/>
  <c r="I17" i="6"/>
  <c r="I23" i="6" s="1"/>
  <c r="H17" i="8"/>
  <c r="H23" i="8" s="1"/>
  <c r="J4" i="9"/>
  <c r="J17" i="9" s="1"/>
  <c r="J23" i="9" s="1"/>
  <c r="B17" i="17"/>
  <c r="B23" i="17" s="1"/>
  <c r="J23" i="3"/>
  <c r="J24" i="3" s="1"/>
  <c r="J25" i="3" s="1"/>
  <c r="H17" i="15"/>
  <c r="H23" i="15" s="1"/>
  <c r="E18" i="2"/>
  <c r="E24" i="2" s="1"/>
  <c r="B18" i="3"/>
  <c r="B24" i="3" s="1"/>
  <c r="H17" i="5"/>
  <c r="H23" i="5" s="1"/>
  <c r="H17" i="9"/>
  <c r="H23" i="9" s="1"/>
  <c r="H17" i="14"/>
  <c r="H23" i="14" s="1"/>
  <c r="G9" i="16"/>
  <c r="G17" i="16" s="1"/>
  <c r="G23" i="16" s="1"/>
  <c r="E17" i="10"/>
  <c r="E23" i="10" s="1"/>
  <c r="B18" i="1"/>
  <c r="B24" i="1" s="1"/>
  <c r="D16" i="5"/>
  <c r="D16" i="14"/>
  <c r="D17" i="14" s="1"/>
  <c r="D23" i="14" s="1"/>
  <c r="N17" i="15"/>
  <c r="O17" i="15" s="1"/>
  <c r="I17" i="11"/>
  <c r="I23" i="11" s="1"/>
  <c r="E18" i="1"/>
  <c r="E24" i="1" s="1"/>
  <c r="J26" i="3" l="1"/>
  <c r="N25" i="3"/>
</calcChain>
</file>

<file path=xl/sharedStrings.xml><?xml version="1.0" encoding="utf-8"?>
<sst xmlns="http://schemas.openxmlformats.org/spreadsheetml/2006/main" count="1302" uniqueCount="307">
  <si>
    <t>Anexo do Acordo de Reparação</t>
  </si>
  <si>
    <t>Valor original do Acordo Judicial</t>
  </si>
  <si>
    <t>Valor Nominal após decisões judiciais - Até 30/09/25</t>
  </si>
  <si>
    <t>Valor Atualizado com rendimentos e correções monetárias após decisões judiciais - Até 30/09/25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</si>
  <si>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</si>
  <si>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</si>
  <si>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</si>
  <si>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</si>
  <si>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</si>
  <si>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</si>
  <si>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</si>
  <si>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</si>
  <si>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I.3 - Projetos para a Bacia do Paraopeba</t>
  </si>
  <si>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</si>
  <si>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</si>
  <si>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</si>
  <si>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</si>
  <si>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</si>
  <si>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</si>
  <si>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</si>
  <si>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</si>
  <si>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</si>
  <si>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II.2 - Compensação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</si>
  <si>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</si>
  <si>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</si>
  <si>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</si>
  <si>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</si>
  <si>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</si>
  <si>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</si>
  <si>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</si>
  <si>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</si>
  <si>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</si>
  <si>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</si>
  <si>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</si>
  <si>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</si>
  <si>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</si>
  <si>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</si>
  <si>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4.4.12 - TAC Bombeiro e TAC Defesa Civil</t>
  </si>
  <si>
    <t>SUBTOTAL Valores previstos no Acordo a executar</t>
  </si>
  <si>
    <t>PAGO Pré-Acordo - Antecipação COVID</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</si>
  <si>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</si>
  <si>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PAGO Pré-Acordo - Despesas com reparação pré-Acordo</t>
  </si>
  <si>
    <t>PAGO Pré-Acordo - Auxílio Emergencial</t>
  </si>
  <si>
    <t>PAGO Pré-Acordo - Ressarcimento ao Estado</t>
  </si>
  <si>
    <t>SUBTOTAL Valores executados a partir de recebimentos antes do Acordo</t>
  </si>
  <si>
    <t>TOTAL</t>
  </si>
  <si>
    <t>Valor Nominal após decisões judiciais - Até 31/08/25</t>
  </si>
  <si>
    <t>Valor Atualizado com rendimentos e correções monetárias após decisões judiciais - Até 31/08/25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</si>
  <si>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</si>
  <si>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</si>
  <si>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</si>
  <si>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</si>
  <si>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</si>
  <si>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</si>
  <si>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</si>
  <si>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</si>
  <si>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</si>
  <si>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</si>
  <si>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</si>
  <si>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</si>
  <si>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OK Karen 01/09/25</t>
  </si>
  <si>
    <t>*Considera o valor em "benefícios pagos" informado pelo site da FGV-PTR na aba https://ptr.fgv.br/brumadinho/transparencia em 04/08/25.</t>
  </si>
  <si>
    <t>Ok Karen 04/08/25</t>
  </si>
  <si>
    <t>Anexo I.2 (PTR)</t>
  </si>
  <si>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</si>
  <si>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</si>
  <si>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</si>
  <si>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</si>
  <si>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</si>
  <si>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</si>
  <si>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</si>
  <si>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</si>
  <si>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</si>
  <si>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</si>
  <si>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</si>
  <si>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</si>
  <si>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</si>
  <si>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</si>
  <si>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</si>
  <si>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</si>
  <si>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</si>
  <si>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Dudu e Karen 04/08/25</t>
  </si>
  <si>
    <t>Anexo II.2 (Compensação socioambiental dos danos já conhecidos)</t>
  </si>
  <si>
    <t>Ok Matheus 01/09/25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</si>
  <si>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</si>
  <si>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</si>
  <si>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</si>
  <si>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</si>
  <si>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</si>
  <si>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</si>
  <si>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</si>
  <si>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</si>
  <si>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</si>
  <si>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</si>
  <si>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</si>
  <si>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</si>
  <si>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</si>
  <si>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</si>
  <si>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*O Valor executado considra os "Valores incorridos atualizado até maio/25"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</si>
  <si>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</si>
  <si>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</si>
  <si>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</si>
  <si>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</si>
  <si>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</si>
  <si>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*O Valor executado considera integralmente o Valor atualizado, já que foi incluído no Acordo Judicial de Reparação, de boa-fé, como valores já empregados pela Vale antes da sua celebração.</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</si>
  <si>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</si>
  <si>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</si>
  <si>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</si>
  <si>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</si>
  <si>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</si>
  <si>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</si>
  <si>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</si>
  <si>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</si>
  <si>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</si>
  <si>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</si>
  <si>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</si>
  <si>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</si>
  <si>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</si>
  <si>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</si>
  <si>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</si>
  <si>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</si>
  <si>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</si>
  <si>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</si>
  <si>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</si>
  <si>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</si>
  <si>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</si>
  <si>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</si>
  <si>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</si>
  <si>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</si>
  <si>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Fevereiro/25.</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</si>
  <si>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</si>
  <si>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</si>
  <si>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</si>
  <si>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Março/25.</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</si>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</sst>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0.00;\(#,##0.00\)"/>
    <numFmt numFmtId="166" formatCode="[$R$ -416]#,##0.00"/>
  </numFmts>
  <fonts count="37">
    <font>
      <sz val="11"/>
      <color theme="1"/>
      <name val="Aptos narrow"/>
      <scheme val="minor"/>
    </font>
    <font>
      <sz val="9"/>
      <color theme="1"/>
      <name val="Aptos narrow"/>
    </font>
    <font>
      <sz val="11"/>
      <color theme="1"/>
      <name val="Aptos narrow"/>
    </font>
    <font>
      <b/>
      <sz val="11"/>
      <color rgb="FF156082"/>
      <name val="Arial"/>
    </font>
    <font>
      <sz val="11"/>
      <name val="Aptos narrow"/>
    </font>
    <font>
      <sz val="11"/>
      <color theme="1"/>
      <name val="Arial"/>
    </font>
    <font>
      <b/>
      <sz val="11"/>
      <color rgb="FFFFFFFF"/>
      <name val="Arial"/>
    </font>
    <font>
      <sz val="11"/>
      <color theme="1"/>
      <name val="Arial"/>
    </font>
    <font>
      <sz val="11"/>
      <color theme="1"/>
      <name val="Aptos narrow"/>
    </font>
    <font>
      <b/>
      <sz val="11"/>
      <color theme="1"/>
      <name val="Aptos narrow"/>
    </font>
    <font>
      <sz val="11"/>
      <color rgb="FFFF0000"/>
      <name val="Arial"/>
    </font>
    <font>
      <b/>
      <sz val="11"/>
      <color theme="1"/>
      <name val="Arial"/>
    </font>
    <font>
      <u/>
      <sz val="11"/>
      <color rgb="FF0000FF"/>
      <name val="Arial"/>
    </font>
    <font>
      <u/>
      <sz val="11"/>
      <color theme="1"/>
      <name val="Arial"/>
    </font>
    <font>
      <sz val="11"/>
      <color rgb="FF000000"/>
      <name val="Calibri"/>
    </font>
    <font>
      <u/>
      <sz val="11"/>
      <color theme="1"/>
      <name val="Arial"/>
    </font>
    <font>
      <u/>
      <sz val="11"/>
      <color theme="1"/>
      <name val="Arial"/>
    </font>
    <font>
      <sz val="11"/>
      <color rgb="FF242424"/>
      <name val="&quot;Aptos Narrow&quot;"/>
    </font>
    <font>
      <b/>
      <i/>
      <sz val="11"/>
      <color theme="1"/>
      <name val="Arial"/>
    </font>
    <font>
      <b/>
      <i/>
      <sz val="11"/>
      <color theme="1"/>
      <name val="Aptos narrow"/>
    </font>
    <font>
      <i/>
      <sz val="11"/>
      <color theme="1"/>
      <name val="Aptos narrow"/>
    </font>
    <font>
      <i/>
      <sz val="11"/>
      <color theme="1"/>
      <name val="Arial"/>
    </font>
    <font>
      <i/>
      <sz val="11"/>
      <color rgb="FFFF0000"/>
      <name val="Arial"/>
    </font>
    <font>
      <i/>
      <sz val="11"/>
      <color theme="1"/>
      <name val="Aptos narrow"/>
    </font>
    <font>
      <sz val="11"/>
      <color rgb="FF000000"/>
      <name val="Arial"/>
    </font>
    <font>
      <u/>
      <sz val="11"/>
      <color theme="1"/>
      <name val="Arial"/>
    </font>
    <font>
      <u/>
      <sz val="11"/>
      <color theme="1"/>
      <name val="Arial"/>
    </font>
    <font>
      <b/>
      <sz val="11"/>
      <color rgb="FF000000"/>
      <name val="Arial"/>
    </font>
    <font>
      <i/>
      <sz val="11"/>
      <color theme="1"/>
      <name val="Arial"/>
    </font>
    <font>
      <b/>
      <sz val="11"/>
      <color rgb="FFFFFFFF"/>
      <name val="Aptos narrow"/>
    </font>
    <font>
      <sz val="11"/>
      <color rgb="FF1F1F1F"/>
      <name val="Arial"/>
    </font>
    <font>
      <u/>
      <sz val="11"/>
      <color rgb="FF467886"/>
      <name val="Arial"/>
    </font>
    <font>
      <u/>
      <sz val="11"/>
      <color rgb="FF1155CC"/>
      <name val="Arial"/>
    </font>
    <font>
      <u/>
      <sz val="11"/>
      <color rgb="FF000000"/>
      <name val="Arial"/>
    </font>
    <font>
      <sz val="11"/>
      <color rgb="FF000000"/>
      <name val="Calibri, sans-serif"/>
    </font>
    <font>
      <strike/>
      <sz val="11"/>
      <color rgb="FFFF0000"/>
      <name val="Calibri, sans-serif"/>
    </font>
    <font>
      <sz val="11"/>
      <name val="Arial"/>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theme="9"/>
        <bgColor theme="9"/>
      </patternFill>
    </fill>
    <fill>
      <patternFill patternType="solid">
        <fgColor rgb="FF156082"/>
        <bgColor rgb="FF156082"/>
      </patternFill>
    </fill>
    <fill>
      <patternFill patternType="solid">
        <fgColor rgb="FFFF0000"/>
        <bgColor rgb="FFFF0000"/>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s>
  <borders count="21">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189">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2" fillId="2" borderId="0" xfId="0" applyFont="1" applyFill="1" applyAlignment="1">
      <alignment horizontal="left" vertical="center" wrapText="1"/>
    </xf>
    <xf numFmtId="0" fontId="2" fillId="0" borderId="0" xfId="0" applyFont="1" applyAlignment="1">
      <alignment vertical="center"/>
    </xf>
    <xf numFmtId="0" fontId="5" fillId="0" borderId="0" xfId="0" applyFont="1" applyAlignment="1">
      <alignment horizontal="left" vertical="center" wrapText="1"/>
    </xf>
    <xf numFmtId="0" fontId="6" fillId="4" borderId="6" xfId="0" applyFont="1" applyFill="1" applyBorder="1" applyAlignment="1">
      <alignment horizontal="center" vertical="center"/>
    </xf>
    <xf numFmtId="0" fontId="6"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7" fillId="6" borderId="7" xfId="0" applyFont="1" applyFill="1" applyBorder="1" applyAlignment="1">
      <alignment vertical="center"/>
    </xf>
    <xf numFmtId="164" fontId="7" fillId="6" borderId="7" xfId="0" applyNumberFormat="1" applyFont="1" applyFill="1" applyBorder="1" applyAlignment="1">
      <alignment vertical="center"/>
    </xf>
    <xf numFmtId="164" fontId="8" fillId="6" borderId="7" xfId="0" applyNumberFormat="1" applyFont="1" applyFill="1" applyBorder="1" applyAlignment="1">
      <alignment vertical="center"/>
    </xf>
    <xf numFmtId="164" fontId="9" fillId="6" borderId="7" xfId="0" applyNumberFormat="1" applyFont="1" applyFill="1" applyBorder="1" applyAlignment="1">
      <alignment horizontal="center" vertical="center"/>
    </xf>
    <xf numFmtId="164" fontId="8" fillId="6" borderId="7" xfId="0" applyNumberFormat="1" applyFont="1" applyFill="1" applyBorder="1" applyAlignment="1">
      <alignment horizontal="center" vertical="center"/>
    </xf>
    <xf numFmtId="164" fontId="8" fillId="6" borderId="8" xfId="0" applyNumberFormat="1" applyFont="1" applyFill="1" applyBorder="1" applyAlignment="1">
      <alignment horizontal="center" vertical="center"/>
    </xf>
    <xf numFmtId="164" fontId="7" fillId="6" borderId="7" xfId="0" applyNumberFormat="1" applyFont="1" applyFill="1" applyBorder="1" applyAlignment="1">
      <alignment horizontal="center" vertical="center"/>
    </xf>
    <xf numFmtId="164" fontId="7" fillId="6" borderId="8" xfId="0" applyNumberFormat="1" applyFont="1" applyFill="1" applyBorder="1" applyAlignment="1">
      <alignment horizontal="left" vertical="top" wrapText="1"/>
    </xf>
    <xf numFmtId="0" fontId="7" fillId="0" borderId="0" xfId="0" applyFont="1" applyAlignment="1">
      <alignment horizontal="left" vertical="top" wrapText="1"/>
    </xf>
    <xf numFmtId="0" fontId="7" fillId="7" borderId="0" xfId="0" applyFont="1" applyFill="1" applyAlignment="1">
      <alignment horizontal="left" vertical="top" wrapText="1"/>
    </xf>
    <xf numFmtId="165" fontId="7" fillId="7" borderId="0" xfId="0" applyNumberFormat="1" applyFont="1" applyFill="1" applyAlignment="1">
      <alignment horizontal="right" vertical="top" wrapText="1"/>
    </xf>
    <xf numFmtId="0" fontId="7" fillId="2" borderId="0" xfId="0" applyFont="1" applyFill="1" applyAlignment="1">
      <alignment horizontal="left" vertical="top" wrapText="1"/>
    </xf>
    <xf numFmtId="0" fontId="10" fillId="2" borderId="0" xfId="0" applyFont="1" applyFill="1" applyAlignment="1">
      <alignment horizontal="left" vertical="top" wrapText="1"/>
    </xf>
    <xf numFmtId="0" fontId="8" fillId="0" borderId="9" xfId="0" applyFont="1" applyBorder="1" applyAlignment="1">
      <alignment vertical="center"/>
    </xf>
    <xf numFmtId="164" fontId="7" fillId="0" borderId="9" xfId="0" applyNumberFormat="1" applyFont="1" applyBorder="1" applyAlignment="1">
      <alignment vertical="center"/>
    </xf>
    <xf numFmtId="164" fontId="8" fillId="0" borderId="9" xfId="0" applyNumberFormat="1" applyFont="1" applyBorder="1" applyAlignment="1">
      <alignment vertical="center"/>
    </xf>
    <xf numFmtId="164" fontId="11" fillId="0" borderId="7" xfId="0" applyNumberFormat="1" applyFont="1" applyBorder="1" applyAlignment="1">
      <alignment horizontal="center"/>
    </xf>
    <xf numFmtId="164" fontId="8" fillId="0" borderId="8" xfId="0" applyNumberFormat="1" applyFont="1" applyBorder="1" applyAlignment="1">
      <alignment vertical="center"/>
    </xf>
    <xf numFmtId="164" fontId="12" fillId="0" borderId="8" xfId="0" applyNumberFormat="1" applyFont="1" applyBorder="1" applyAlignment="1">
      <alignment wrapText="1"/>
    </xf>
    <xf numFmtId="0" fontId="7" fillId="0" borderId="9" xfId="0" applyFont="1" applyBorder="1" applyAlignment="1">
      <alignment vertical="center"/>
    </xf>
    <xf numFmtId="164" fontId="7"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7" fillId="2" borderId="9" xfId="0" applyNumberFormat="1" applyFont="1" applyFill="1" applyBorder="1" applyAlignment="1">
      <alignment horizontal="center" vertical="center" wrapText="1"/>
    </xf>
    <xf numFmtId="164" fontId="13" fillId="0" borderId="9" xfId="0" applyNumberFormat="1" applyFont="1" applyBorder="1" applyAlignment="1">
      <alignment horizontal="left" vertical="center" wrapText="1"/>
    </xf>
    <xf numFmtId="0" fontId="14" fillId="0" borderId="0" xfId="0" applyFont="1" applyAlignment="1">
      <alignment horizontal="center"/>
    </xf>
    <xf numFmtId="164" fontId="8" fillId="2" borderId="9" xfId="0" applyNumberFormat="1" applyFont="1" applyFill="1" applyBorder="1" applyAlignment="1">
      <alignment vertical="center"/>
    </xf>
    <xf numFmtId="164" fontId="7" fillId="2" borderId="9" xfId="0" applyNumberFormat="1" applyFont="1" applyFill="1" applyBorder="1" applyAlignment="1">
      <alignment vertical="center"/>
    </xf>
    <xf numFmtId="164" fontId="15" fillId="0" borderId="9" xfId="0" applyNumberFormat="1" applyFont="1" applyBorder="1" applyAlignment="1">
      <alignment vertical="center" wrapText="1"/>
    </xf>
    <xf numFmtId="0" fontId="5" fillId="0" borderId="0" xfId="0" applyFont="1"/>
    <xf numFmtId="164" fontId="7" fillId="0" borderId="9" xfId="0" applyNumberFormat="1" applyFont="1" applyBorder="1" applyAlignment="1">
      <alignment vertical="center" wrapText="1"/>
    </xf>
    <xf numFmtId="0" fontId="14" fillId="0" borderId="0" xfId="0" applyFont="1" applyAlignment="1"/>
    <xf numFmtId="166" fontId="16" fillId="0" borderId="9" xfId="0" applyNumberFormat="1" applyFont="1" applyBorder="1" applyAlignment="1">
      <alignment vertical="center" wrapText="1"/>
    </xf>
    <xf numFmtId="165" fontId="17" fillId="2" borderId="0" xfId="0" applyNumberFormat="1" applyFont="1" applyFill="1" applyAlignment="1">
      <alignment horizontal="right"/>
    </xf>
    <xf numFmtId="0" fontId="10" fillId="7" borderId="0" xfId="0" applyFont="1" applyFill="1" applyAlignment="1">
      <alignment horizontal="left" vertical="top" wrapText="1"/>
    </xf>
    <xf numFmtId="0" fontId="7" fillId="0" borderId="9" xfId="0" applyFont="1" applyBorder="1" applyAlignment="1">
      <alignment vertical="center" wrapText="1"/>
    </xf>
    <xf numFmtId="0" fontId="18" fillId="0" borderId="9" xfId="0" applyFont="1" applyBorder="1" applyAlignment="1">
      <alignment vertical="center"/>
    </xf>
    <xf numFmtId="164" fontId="19" fillId="0" borderId="9" xfId="0" applyNumberFormat="1" applyFont="1" applyBorder="1" applyAlignment="1">
      <alignment vertical="center"/>
    </xf>
    <xf numFmtId="164" fontId="20" fillId="0" borderId="9" xfId="0" applyNumberFormat="1" applyFont="1" applyBorder="1" applyAlignment="1">
      <alignment vertical="center"/>
    </xf>
    <xf numFmtId="0" fontId="21" fillId="0" borderId="0" xfId="0" applyFont="1" applyAlignment="1">
      <alignment horizontal="left" vertical="top" wrapText="1"/>
    </xf>
    <xf numFmtId="0" fontId="21" fillId="7" borderId="0" xfId="0" applyFont="1" applyFill="1" applyAlignment="1">
      <alignment horizontal="left" vertical="top" wrapText="1"/>
    </xf>
    <xf numFmtId="0" fontId="22" fillId="7" borderId="0" xfId="0" applyFont="1" applyFill="1" applyAlignment="1">
      <alignment horizontal="left" vertical="top" wrapText="1"/>
    </xf>
    <xf numFmtId="0" fontId="23" fillId="0" borderId="0" xfId="0" applyFont="1" applyAlignment="1">
      <alignment vertical="center"/>
    </xf>
    <xf numFmtId="0" fontId="8" fillId="0" borderId="9" xfId="0" applyFont="1" applyBorder="1" applyAlignment="1">
      <alignment vertical="center" wrapText="1"/>
    </xf>
    <xf numFmtId="0" fontId="6" fillId="8" borderId="6" xfId="0" applyFont="1" applyFill="1" applyBorder="1" applyAlignment="1">
      <alignment horizontal="center" vertical="center"/>
    </xf>
    <xf numFmtId="164" fontId="6" fillId="8" borderId="6" xfId="0" applyNumberFormat="1" applyFont="1" applyFill="1" applyBorder="1" applyAlignment="1">
      <alignment horizontal="center" vertical="center"/>
    </xf>
    <xf numFmtId="166" fontId="7" fillId="7" borderId="0" xfId="0" applyNumberFormat="1" applyFont="1" applyFill="1" applyAlignment="1">
      <alignment horizontal="right" vertical="top" wrapText="1"/>
    </xf>
    <xf numFmtId="0" fontId="6" fillId="4" borderId="0" xfId="0" applyFont="1" applyFill="1" applyAlignment="1">
      <alignment horizontal="center" vertical="center"/>
    </xf>
    <xf numFmtId="0" fontId="11" fillId="4"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wrapText="1"/>
    </xf>
    <xf numFmtId="0" fontId="8" fillId="0" borderId="0" xfId="0" applyFont="1" applyAlignment="1">
      <alignment horizontal="left" vertical="center" wrapText="1"/>
    </xf>
    <xf numFmtId="10" fontId="8" fillId="2" borderId="0" xfId="0" applyNumberFormat="1" applyFont="1" applyFill="1" applyAlignment="1">
      <alignment horizontal="right" vertical="center" wrapText="1"/>
    </xf>
    <xf numFmtId="10" fontId="11" fillId="4" borderId="0" xfId="0" applyNumberFormat="1" applyFont="1" applyFill="1" applyAlignment="1">
      <alignment horizontal="center" vertical="center"/>
    </xf>
    <xf numFmtId="0" fontId="8" fillId="2" borderId="0" xfId="0" applyFont="1" applyFill="1" applyAlignment="1">
      <alignment horizontal="right" vertical="center" wrapText="1"/>
    </xf>
    <xf numFmtId="0" fontId="8" fillId="2" borderId="0" xfId="0" applyFont="1" applyFill="1" applyAlignment="1">
      <alignment horizontal="left" vertical="center" wrapText="1"/>
    </xf>
    <xf numFmtId="4" fontId="24" fillId="2" borderId="0" xfId="0" applyNumberFormat="1" applyFont="1" applyFill="1" applyAlignment="1">
      <alignment horizontal="center" vertical="center"/>
    </xf>
    <xf numFmtId="0" fontId="2" fillId="0" borderId="0" xfId="0" applyFont="1" applyAlignment="1">
      <alignment horizontal="left" vertical="center" wrapText="1"/>
    </xf>
    <xf numFmtId="166" fontId="25" fillId="0" borderId="9" xfId="0" applyNumberFormat="1" applyFont="1" applyBorder="1" applyAlignment="1">
      <alignment vertical="center" wrapText="1"/>
    </xf>
    <xf numFmtId="0" fontId="26" fillId="7" borderId="0" xfId="0" applyFont="1" applyFill="1" applyAlignment="1">
      <alignment horizontal="left" vertical="top" wrapText="1"/>
    </xf>
    <xf numFmtId="0" fontId="27" fillId="4" borderId="6" xfId="0" applyFont="1" applyFill="1" applyBorder="1" applyAlignment="1">
      <alignment horizontal="center" vertical="center"/>
    </xf>
    <xf numFmtId="164" fontId="27" fillId="4" borderId="6" xfId="0" applyNumberFormat="1" applyFont="1" applyFill="1" applyBorder="1" applyAlignment="1">
      <alignment horizontal="center" vertical="center"/>
    </xf>
    <xf numFmtId="164" fontId="11" fillId="4" borderId="0" xfId="0" applyNumberFormat="1" applyFont="1" applyFill="1" applyAlignment="1">
      <alignment horizontal="center" vertical="center"/>
    </xf>
    <xf numFmtId="10" fontId="21" fillId="7" borderId="0" xfId="0" applyNumberFormat="1" applyFont="1" applyFill="1" applyAlignment="1">
      <alignment horizontal="left" vertical="top" wrapText="1"/>
    </xf>
    <xf numFmtId="0" fontId="6" fillId="4" borderId="6" xfId="0" applyFont="1" applyFill="1" applyBorder="1" applyAlignment="1">
      <alignment horizontal="center" vertical="center"/>
    </xf>
    <xf numFmtId="164" fontId="6" fillId="4" borderId="6" xfId="0" applyNumberFormat="1" applyFont="1" applyFill="1" applyBorder="1" applyAlignment="1">
      <alignment horizontal="center" vertical="center"/>
    </xf>
    <xf numFmtId="164" fontId="7" fillId="0" borderId="9" xfId="0" applyNumberFormat="1" applyFont="1" applyBorder="1" applyAlignment="1">
      <alignment horizontal="center" vertical="center" wrapText="1"/>
    </xf>
    <xf numFmtId="164" fontId="7" fillId="0" borderId="8" xfId="0" applyNumberFormat="1" applyFont="1" applyBorder="1" applyAlignment="1">
      <alignment wrapText="1"/>
    </xf>
    <xf numFmtId="166" fontId="7" fillId="0" borderId="9" xfId="0" applyNumberFormat="1" applyFont="1" applyBorder="1" applyAlignment="1">
      <alignment vertical="center" wrapText="1"/>
    </xf>
    <xf numFmtId="0" fontId="2" fillId="10" borderId="0" xfId="0" applyFont="1" applyFill="1" applyAlignment="1">
      <alignment vertical="center"/>
    </xf>
    <xf numFmtId="0" fontId="7" fillId="10" borderId="0" xfId="0" applyFont="1" applyFill="1" applyAlignment="1">
      <alignment horizontal="left" vertical="top" wrapText="1"/>
    </xf>
    <xf numFmtId="0" fontId="5" fillId="10" borderId="0" xfId="0" applyFont="1" applyFill="1"/>
    <xf numFmtId="0" fontId="21" fillId="10" borderId="0" xfId="0" applyFont="1" applyFill="1" applyAlignment="1">
      <alignment horizontal="left" vertical="top" wrapText="1"/>
    </xf>
    <xf numFmtId="10" fontId="21" fillId="10" borderId="0" xfId="0" applyNumberFormat="1" applyFont="1" applyFill="1" applyAlignment="1">
      <alignment horizontal="left" vertical="top" wrapText="1"/>
    </xf>
    <xf numFmtId="0" fontId="8" fillId="10" borderId="0" xfId="0" applyFont="1" applyFill="1" applyAlignment="1">
      <alignment horizontal="left" vertical="center" wrapText="1"/>
    </xf>
    <xf numFmtId="0" fontId="7" fillId="11" borderId="0" xfId="0" applyFont="1" applyFill="1" applyAlignment="1">
      <alignment horizontal="left" vertical="top" wrapText="1"/>
    </xf>
    <xf numFmtId="164" fontId="8" fillId="12" borderId="9" xfId="0" applyNumberFormat="1" applyFont="1" applyFill="1" applyBorder="1" applyAlignment="1">
      <alignment vertical="center"/>
    </xf>
    <xf numFmtId="164" fontId="21" fillId="7" borderId="0" xfId="0" applyNumberFormat="1" applyFont="1" applyFill="1" applyAlignment="1">
      <alignment horizontal="left" vertical="top" wrapText="1"/>
    </xf>
    <xf numFmtId="0" fontId="2" fillId="7" borderId="0" xfId="0" applyFont="1" applyFill="1" applyAlignment="1">
      <alignment horizontal="left" vertical="center" wrapText="1"/>
    </xf>
    <xf numFmtId="0" fontId="2" fillId="7" borderId="0" xfId="0" applyFont="1" applyFill="1" applyAlignment="1">
      <alignment vertical="center"/>
    </xf>
    <xf numFmtId="0" fontId="5" fillId="7" borderId="0" xfId="0" applyFont="1" applyFill="1" applyAlignment="1">
      <alignment horizontal="left" vertical="center" wrapText="1"/>
    </xf>
    <xf numFmtId="0" fontId="2" fillId="12" borderId="0" xfId="0" applyFont="1" applyFill="1" applyAlignment="1">
      <alignment vertical="center"/>
    </xf>
    <xf numFmtId="0" fontId="2" fillId="13" borderId="0" xfId="0" applyFont="1" applyFill="1" applyAlignment="1">
      <alignment vertical="center"/>
    </xf>
    <xf numFmtId="0" fontId="28" fillId="7" borderId="0" xfId="0" applyFont="1" applyFill="1" applyAlignment="1">
      <alignment horizontal="left" vertical="center" wrapText="1"/>
    </xf>
    <xf numFmtId="0" fontId="23" fillId="1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vertical="center"/>
    </xf>
    <xf numFmtId="0" fontId="29" fillId="14" borderId="10" xfId="0" applyFont="1" applyFill="1" applyBorder="1" applyAlignment="1">
      <alignment horizontal="center" vertical="center"/>
    </xf>
    <xf numFmtId="0" fontId="29" fillId="14" borderId="15" xfId="0" applyFont="1" applyFill="1" applyBorder="1" applyAlignment="1">
      <alignment horizontal="center" vertical="center"/>
    </xf>
    <xf numFmtId="0" fontId="8" fillId="2" borderId="7" xfId="0" applyFont="1" applyFill="1" applyBorder="1" applyAlignment="1">
      <alignment vertical="center"/>
    </xf>
    <xf numFmtId="164" fontId="7" fillId="2" borderId="7" xfId="0" applyNumberFormat="1" applyFont="1" applyFill="1" applyBorder="1" applyAlignment="1">
      <alignment vertical="center"/>
    </xf>
    <xf numFmtId="164" fontId="8" fillId="2" borderId="7" xfId="0" applyNumberFormat="1" applyFont="1" applyFill="1" applyBorder="1" applyAlignment="1">
      <alignment vertical="center"/>
    </xf>
    <xf numFmtId="164" fontId="9" fillId="2" borderId="16" xfId="0" applyNumberFormat="1" applyFont="1" applyFill="1" applyBorder="1" applyAlignment="1">
      <alignment horizontal="center"/>
    </xf>
    <xf numFmtId="164" fontId="8" fillId="2" borderId="9" xfId="0" applyNumberFormat="1" applyFont="1" applyFill="1" applyBorder="1" applyAlignment="1">
      <alignment horizontal="center"/>
    </xf>
    <xf numFmtId="164" fontId="8" fillId="2" borderId="9" xfId="0" applyNumberFormat="1" applyFont="1" applyFill="1" applyBorder="1"/>
    <xf numFmtId="164" fontId="8" fillId="2" borderId="8" xfId="0" applyNumberFormat="1" applyFont="1" applyFill="1" applyBorder="1" applyAlignment="1">
      <alignment horizontal="center"/>
    </xf>
    <xf numFmtId="164" fontId="7" fillId="2" borderId="9" xfId="0" applyNumberFormat="1" applyFont="1" applyFill="1" applyBorder="1" applyAlignment="1">
      <alignment horizontal="center"/>
    </xf>
    <xf numFmtId="164" fontId="7" fillId="2" borderId="8" xfId="0" applyNumberFormat="1" applyFont="1" applyFill="1" applyBorder="1" applyAlignment="1">
      <alignment horizontal="left" vertical="top" wrapText="1"/>
    </xf>
    <xf numFmtId="0" fontId="8" fillId="2" borderId="9" xfId="0" applyFont="1" applyFill="1" applyBorder="1" applyAlignment="1">
      <alignment vertical="center"/>
    </xf>
    <xf numFmtId="164" fontId="7" fillId="2" borderId="9" xfId="0" applyNumberFormat="1" applyFont="1" applyFill="1" applyBorder="1" applyAlignment="1">
      <alignment vertical="center"/>
    </xf>
    <xf numFmtId="164" fontId="8" fillId="2" borderId="9" xfId="0" applyNumberFormat="1" applyFont="1" applyFill="1" applyBorder="1" applyAlignment="1">
      <alignment vertical="center"/>
    </xf>
    <xf numFmtId="164" fontId="11" fillId="2" borderId="7" xfId="0" applyNumberFormat="1" applyFont="1" applyFill="1" applyBorder="1" applyAlignment="1">
      <alignment horizontal="center"/>
    </xf>
    <xf numFmtId="164" fontId="8" fillId="2" borderId="8" xfId="0" applyNumberFormat="1" applyFont="1" applyFill="1" applyBorder="1"/>
    <xf numFmtId="164" fontId="7" fillId="2" borderId="8" xfId="0" applyNumberFormat="1" applyFont="1" applyFill="1" applyBorder="1" applyAlignment="1">
      <alignment wrapText="1"/>
    </xf>
    <xf numFmtId="0" fontId="5" fillId="2" borderId="0" xfId="0" applyFont="1" applyFill="1" applyAlignment="1">
      <alignment horizontal="left" vertical="center" wrapText="1"/>
    </xf>
    <xf numFmtId="164" fontId="7" fillId="2" borderId="9" xfId="0" applyNumberFormat="1" applyFont="1" applyFill="1" applyBorder="1" applyAlignment="1">
      <alignment horizontal="center" vertical="center"/>
    </xf>
    <xf numFmtId="164" fontId="8" fillId="2" borderId="9"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wrapText="1"/>
    </xf>
    <xf numFmtId="166" fontId="2" fillId="2" borderId="0" xfId="0" applyNumberFormat="1" applyFont="1" applyFill="1" applyAlignment="1">
      <alignment horizontal="center" vertical="center"/>
    </xf>
    <xf numFmtId="0" fontId="2" fillId="2" borderId="0" xfId="0" applyFont="1" applyFill="1" applyAlignment="1">
      <alignment horizontal="center" vertical="center"/>
    </xf>
    <xf numFmtId="0" fontId="5" fillId="2" borderId="0" xfId="0" applyFont="1" applyFill="1" applyAlignment="1">
      <alignment horizontal="center" vertical="center"/>
    </xf>
    <xf numFmtId="4" fontId="24" fillId="2" borderId="0" xfId="0" applyNumberFormat="1" applyFont="1" applyFill="1" applyAlignment="1">
      <alignment horizontal="center"/>
    </xf>
    <xf numFmtId="164" fontId="7" fillId="2" borderId="9" xfId="0" applyNumberFormat="1" applyFont="1" applyFill="1" applyBorder="1" applyAlignment="1">
      <alignment vertical="center" wrapText="1"/>
    </xf>
    <xf numFmtId="0" fontId="7" fillId="2" borderId="9" xfId="0" applyFont="1" applyFill="1" applyBorder="1" applyAlignment="1">
      <alignment vertical="center"/>
    </xf>
    <xf numFmtId="0" fontId="30" fillId="2" borderId="0" xfId="0" applyFont="1" applyFill="1"/>
    <xf numFmtId="0" fontId="18" fillId="2" borderId="9" xfId="0" applyFont="1" applyFill="1" applyBorder="1" applyAlignment="1">
      <alignment vertical="center"/>
    </xf>
    <xf numFmtId="164" fontId="19" fillId="2" borderId="9" xfId="0" applyNumberFormat="1" applyFont="1" applyFill="1" applyBorder="1" applyAlignment="1">
      <alignment vertical="center"/>
    </xf>
    <xf numFmtId="164" fontId="20" fillId="2" borderId="9" xfId="0" applyNumberFormat="1" applyFont="1" applyFill="1" applyBorder="1" applyAlignment="1">
      <alignment vertical="center"/>
    </xf>
    <xf numFmtId="0" fontId="28" fillId="2" borderId="0" xfId="0" applyFont="1" applyFill="1" applyAlignment="1">
      <alignment horizontal="left" vertical="center" wrapText="1"/>
    </xf>
    <xf numFmtId="0" fontId="9" fillId="2" borderId="9" xfId="0" applyFont="1" applyFill="1" applyBorder="1" applyAlignment="1">
      <alignment vertical="center"/>
    </xf>
    <xf numFmtId="164" fontId="9" fillId="2" borderId="9" xfId="0" applyNumberFormat="1" applyFont="1" applyFill="1" applyBorder="1" applyAlignment="1">
      <alignment vertical="center"/>
    </xf>
    <xf numFmtId="0" fontId="1" fillId="0" borderId="0" xfId="0" applyFont="1" applyAlignment="1">
      <alignment vertical="center"/>
    </xf>
    <xf numFmtId="0" fontId="29" fillId="15" borderId="15" xfId="0" applyFont="1" applyFill="1" applyBorder="1" applyAlignment="1">
      <alignment vertical="center"/>
    </xf>
    <xf numFmtId="0" fontId="8" fillId="0" borderId="7" xfId="0" applyFont="1" applyBorder="1" applyAlignment="1">
      <alignment vertical="center"/>
    </xf>
    <xf numFmtId="164" fontId="7" fillId="0" borderId="7" xfId="0" applyNumberFormat="1" applyFont="1" applyBorder="1" applyAlignment="1">
      <alignment vertical="center"/>
    </xf>
    <xf numFmtId="164" fontId="8" fillId="0" borderId="7" xfId="0" applyNumberFormat="1" applyFont="1" applyBorder="1" applyAlignment="1">
      <alignment vertical="center"/>
    </xf>
    <xf numFmtId="0" fontId="8" fillId="0" borderId="9" xfId="0" applyFont="1" applyBorder="1" applyAlignment="1">
      <alignment vertical="center"/>
    </xf>
    <xf numFmtId="164" fontId="7" fillId="0" borderId="9" xfId="0" applyNumberFormat="1" applyFont="1" applyBorder="1" applyAlignment="1">
      <alignment vertical="center"/>
    </xf>
    <xf numFmtId="164" fontId="8" fillId="0" borderId="9" xfId="0" applyNumberFormat="1" applyFont="1" applyBorder="1" applyAlignment="1">
      <alignment vertical="center"/>
    </xf>
    <xf numFmtId="164" fontId="9" fillId="0" borderId="8" xfId="0" applyNumberFormat="1" applyFont="1" applyBorder="1"/>
    <xf numFmtId="0" fontId="9" fillId="0" borderId="8" xfId="0" applyFont="1" applyBorder="1"/>
    <xf numFmtId="164" fontId="7"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7" fillId="0" borderId="9" xfId="0" applyNumberFormat="1" applyFont="1" applyBorder="1" applyAlignment="1">
      <alignment horizontal="center" vertical="center" wrapText="1"/>
    </xf>
    <xf numFmtId="0" fontId="2" fillId="0" borderId="0" xfId="0" applyFont="1" applyAlignment="1">
      <alignment horizontal="center" vertical="center"/>
    </xf>
    <xf numFmtId="166" fontId="2" fillId="0" borderId="0" xfId="0" applyNumberFormat="1" applyFont="1" applyAlignment="1">
      <alignment horizontal="center" vertical="center"/>
    </xf>
    <xf numFmtId="0" fontId="5" fillId="0" borderId="0" xfId="0" applyFont="1" applyAlignment="1">
      <alignment horizontal="center" vertical="center"/>
    </xf>
    <xf numFmtId="0" fontId="7" fillId="0" borderId="9" xfId="0" applyFont="1" applyBorder="1" applyAlignment="1">
      <alignment vertical="center"/>
    </xf>
    <xf numFmtId="164" fontId="7" fillId="0" borderId="9" xfId="0" applyNumberFormat="1" applyFont="1" applyBorder="1" applyAlignment="1">
      <alignment vertical="center" wrapText="1"/>
    </xf>
    <xf numFmtId="0" fontId="18" fillId="0" borderId="9" xfId="0" applyFont="1" applyBorder="1" applyAlignment="1">
      <alignment vertical="center"/>
    </xf>
    <xf numFmtId="164" fontId="19" fillId="0" borderId="9" xfId="0" applyNumberFormat="1" applyFont="1" applyBorder="1" applyAlignment="1">
      <alignment vertical="center"/>
    </xf>
    <xf numFmtId="164" fontId="20" fillId="0" borderId="9" xfId="0" applyNumberFormat="1" applyFont="1" applyBorder="1" applyAlignment="1">
      <alignment vertical="center"/>
    </xf>
    <xf numFmtId="0" fontId="9" fillId="0" borderId="9" xfId="0" applyFont="1" applyBorder="1" applyAlignment="1">
      <alignment vertical="center"/>
    </xf>
    <xf numFmtId="164" fontId="9" fillId="0" borderId="9" xfId="0" applyNumberFormat="1" applyFont="1" applyBorder="1" applyAlignment="1">
      <alignment vertical="center"/>
    </xf>
    <xf numFmtId="0" fontId="8" fillId="0" borderId="0" xfId="0" applyFont="1" applyAlignment="1">
      <alignment horizontal="left" vertical="center" wrapText="1"/>
    </xf>
    <xf numFmtId="0" fontId="5" fillId="3" borderId="0" xfId="0" applyFont="1" applyFill="1" applyAlignment="1">
      <alignment horizontal="left" vertical="center" wrapText="1"/>
    </xf>
    <xf numFmtId="0" fontId="0" fillId="0" borderId="0" xfId="0" applyFont="1" applyAlignment="1"/>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5" fillId="9" borderId="0" xfId="0" applyFont="1" applyFill="1" applyAlignment="1">
      <alignment horizontal="left" vertical="center" wrapText="1"/>
    </xf>
    <xf numFmtId="0" fontId="29" fillId="14" borderId="10" xfId="0" applyFont="1" applyFill="1" applyBorder="1" applyAlignment="1">
      <alignment horizontal="center" vertical="center"/>
    </xf>
    <xf numFmtId="0" fontId="4" fillId="0" borderId="14" xfId="0" applyFont="1" applyBorder="1"/>
    <xf numFmtId="0" fontId="29" fillId="14" borderId="11" xfId="0" applyFont="1" applyFill="1" applyBorder="1" applyAlignment="1">
      <alignment horizontal="center" vertical="center"/>
    </xf>
    <xf numFmtId="0" fontId="4" fillId="0" borderId="12" xfId="0" applyFont="1" applyBorder="1"/>
    <xf numFmtId="0" fontId="4" fillId="0" borderId="13" xfId="0" applyFont="1" applyBorder="1"/>
    <xf numFmtId="0" fontId="6" fillId="14" borderId="11" xfId="0" applyFont="1" applyFill="1" applyBorder="1" applyAlignment="1">
      <alignment horizontal="center" vertical="center"/>
    </xf>
    <xf numFmtId="0" fontId="6" fillId="14" borderId="11" xfId="0" applyFont="1" applyFill="1" applyBorder="1" applyAlignment="1">
      <alignment horizontal="center" vertical="center" wrapText="1"/>
    </xf>
    <xf numFmtId="164" fontId="11" fillId="0" borderId="17" xfId="0" applyNumberFormat="1" applyFont="1" applyBorder="1" applyAlignment="1">
      <alignment horizontal="center"/>
    </xf>
    <xf numFmtId="0" fontId="4" fillId="0" borderId="17" xfId="0" applyFont="1" applyBorder="1"/>
    <xf numFmtId="0" fontId="4" fillId="0" borderId="8" xfId="0" applyFont="1" applyBorder="1"/>
    <xf numFmtId="0" fontId="11" fillId="0" borderId="18" xfId="0" applyFont="1" applyBorder="1" applyAlignment="1">
      <alignment horizontal="center" wrapText="1"/>
    </xf>
    <xf numFmtId="0" fontId="4" fillId="0" borderId="18" xfId="0" applyFont="1" applyBorder="1"/>
    <xf numFmtId="0" fontId="4" fillId="0" borderId="19" xfId="0" applyFont="1" applyBorder="1"/>
    <xf numFmtId="0" fontId="9" fillId="0" borderId="20" xfId="0" applyFont="1" applyBorder="1" applyAlignment="1">
      <alignment horizontal="center"/>
    </xf>
    <xf numFmtId="0" fontId="29" fillId="15" borderId="10" xfId="0" applyFont="1" applyFill="1" applyBorder="1" applyAlignment="1">
      <alignment horizontal="center" vertical="center"/>
    </xf>
    <xf numFmtId="0" fontId="29" fillId="15" borderId="11" xfId="0" applyFont="1" applyFill="1" applyBorder="1" applyAlignment="1">
      <alignment horizontal="center" vertical="center"/>
    </xf>
    <xf numFmtId="0" fontId="6" fillId="15" borderId="11" xfId="0" applyFont="1" applyFill="1" applyBorder="1" applyAlignment="1">
      <alignment horizontal="center" vertical="center"/>
    </xf>
    <xf numFmtId="0" fontId="6" fillId="15" borderId="11" xfId="0" applyFont="1" applyFill="1" applyBorder="1" applyAlignment="1">
      <alignment horizontal="center" vertical="center" wrapText="1"/>
    </xf>
    <xf numFmtId="164" fontId="9" fillId="0" borderId="16" xfId="0" applyNumberFormat="1" applyFont="1" applyBorder="1" applyAlignment="1">
      <alignment horizontal="center"/>
    </xf>
    <xf numFmtId="0" fontId="4" fillId="0" borderId="7" xfId="0" applyFont="1" applyBorder="1"/>
    <xf numFmtId="164" fontId="9" fillId="0" borderId="17" xfId="0" applyNumberFormat="1" applyFont="1" applyBorder="1" applyAlignment="1">
      <alignment horizontal="center"/>
    </xf>
    <xf numFmtId="0" fontId="7" fillId="0" borderId="9" xfId="0" applyNumberFormat="1" applyFont="1" applyBorder="1" applyAlignment="1">
      <alignment vertical="center" wrapText="1"/>
    </xf>
    <xf numFmtId="0" fontId="7" fillId="6" borderId="8" xfId="0" applyNumberFormat="1" applyFont="1" applyFill="1" applyBorder="1" applyAlignment="1">
      <alignment horizontal="left" vertical="top" wrapText="1"/>
    </xf>
    <xf numFmtId="0" fontId="12" fillId="0" borderId="8" xfId="0" applyNumberFormat="1" applyFont="1" applyBorder="1" applyAlignment="1">
      <alignment wrapText="1"/>
    </xf>
    <xf numFmtId="0" fontId="13" fillId="0" borderId="9" xfId="0" applyNumberFormat="1" applyFont="1" applyBorder="1" applyAlignment="1">
      <alignment horizontal="left" vertical="center" wrapText="1"/>
    </xf>
    <xf numFmtId="0" fontId="15" fillId="0" borderId="9" xfId="0" applyNumberFormat="1" applyFont="1" applyBorder="1" applyAlignment="1">
      <alignment vertical="center" wrapText="1"/>
    </xf>
  </cellXfs>
  <cellStyles count="1">
    <cellStyle name="Normal" xfId="0" builtinId="0"/>
  </cellStyles>
  <dxfs count="61">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6">
    <tableStyle name="300925-style" pivot="0" count="3">
      <tableStyleElement type="headerRow" dxfId="60"/>
      <tableStyleElement type="firstRowStripe" dxfId="59"/>
      <tableStyleElement type="secondRowStripe" dxfId="58"/>
    </tableStyle>
    <tableStyle name="310825-style" pivot="0" count="3">
      <tableStyleElement type="headerRow" dxfId="57"/>
      <tableStyleElement type="firstRowStripe" dxfId="56"/>
      <tableStyleElement type="secondRowStripe" dxfId="55"/>
    </tableStyle>
    <tableStyle name="310725-style" pivot="0" count="3">
      <tableStyleElement type="headerRow" dxfId="54"/>
      <tableStyleElement type="firstRowStripe" dxfId="53"/>
      <tableStyleElement type="secondRowStripe" dxfId="52"/>
    </tableStyle>
    <tableStyle name="300625-style" pivot="0" count="3">
      <tableStyleElement type="headerRow" dxfId="51"/>
      <tableStyleElement type="firstRowStripe" dxfId="50"/>
      <tableStyleElement type="secondRowStripe" dxfId="49"/>
    </tableStyle>
    <tableStyle name="310525-style" pivot="0" count="3">
      <tableStyleElement type="headerRow" dxfId="48"/>
      <tableStyleElement type="firstRowStripe" dxfId="47"/>
      <tableStyleElement type="secondRowStripe" dxfId="46"/>
    </tableStyle>
    <tableStyle name="300425-style" pivot="0" count="3">
      <tableStyleElement type="headerRow" dxfId="45"/>
      <tableStyleElement type="firstRowStripe" dxfId="44"/>
      <tableStyleElement type="secondRowStripe" dxfId="43"/>
    </tableStyle>
    <tableStyle name="310325-style" pivot="0" count="3">
      <tableStyleElement type="headerRow" dxfId="42"/>
      <tableStyleElement type="firstRowStripe" dxfId="41"/>
      <tableStyleElement type="secondRowStripe" dxfId="40"/>
    </tableStyle>
    <tableStyle name="310125-style" pivot="0" count="3">
      <tableStyleElement type="headerRow" dxfId="39"/>
      <tableStyleElement type="firstRowStripe" dxfId="38"/>
      <tableStyleElement type="secondRowStripe" dxfId="37"/>
    </tableStyle>
    <tableStyle name="280225-style" pivot="0" count="3">
      <tableStyleElement type="headerRow" dxfId="36"/>
      <tableStyleElement type="firstRowStripe" dxfId="35"/>
      <tableStyleElement type="secondRowStripe" dxfId="34"/>
    </tableStyle>
    <tableStyle name="311224-style" pivot="0" count="3">
      <tableStyleElement type="headerRow" dxfId="33"/>
      <tableStyleElement type="firstRowStripe" dxfId="32"/>
      <tableStyleElement type="secondRowStripe" dxfId="31"/>
    </tableStyle>
    <tableStyle name="301124-style" pivot="0" count="3">
      <tableStyleElement type="headerRow" dxfId="30"/>
      <tableStyleElement type="firstRowStripe" dxfId="29"/>
      <tableStyleElement type="secondRowStripe" dxfId="28"/>
    </tableStyle>
    <tableStyle name="311024-style" pivot="0" count="3">
      <tableStyleElement type="headerRow" dxfId="27"/>
      <tableStyleElement type="firstRowStripe" dxfId="26"/>
      <tableStyleElement type="secondRowStripe" dxfId="25"/>
    </tableStyle>
    <tableStyle name="300924-style" pivot="0" count="3">
      <tableStyleElement type="headerRow" dxfId="24"/>
      <tableStyleElement type="firstRowStripe" dxfId="23"/>
      <tableStyleElement type="secondRowStripe" dxfId="22"/>
    </tableStyle>
    <tableStyle name="310824-style" pivot="0" count="3">
      <tableStyleElement type="headerRow" dxfId="21"/>
      <tableStyleElement type="firstRowStripe" dxfId="20"/>
      <tableStyleElement type="secondRowStripe" dxfId="19"/>
    </tableStyle>
    <tableStyle name="310724-style" pivot="0" count="3">
      <tableStyleElement type="headerRow" dxfId="18"/>
      <tableStyleElement type="firstRowStripe" dxfId="17"/>
      <tableStyleElement type="secondRowStripe" dxfId="16"/>
    </tableStyle>
    <tableStyle name="300624-style" pivot="0" count="3">
      <tableStyleElement type="headerRow" dxfId="15"/>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ables/table1.xml><?xml version="1.0" encoding="utf-8"?>
<table xmlns="http://schemas.openxmlformats.org/spreadsheetml/2006/main" id="1" name="Table_1" displayName="Table_1"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09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16" name="Table_16" displayName="Table_16"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08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table" Target="../tables/table1.xml"/><Relationship Id="rId5" Type="http://schemas.openxmlformats.org/officeDocument/2006/relationships/printerSettings" Target="../printerSettings/printerSettings1.bin"/><Relationship Id="rId4" Type="http://schemas.openxmlformats.org/officeDocument/2006/relationships/hyperlink" Target="https://www.mg.gov.br/system/files/media/documento_detalhado/2024-07/decisao_conversao_saneamento.pdf"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4.xml"/><Relationship Id="rId4" Type="http://schemas.openxmlformats.org/officeDocument/2006/relationships/hyperlink" Target="https://www.mg.gov.br/system/files/media/documento_detalhado/2024-07/decisao_conversao_saneamento.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5.xml"/><Relationship Id="rId4" Type="http://schemas.openxmlformats.org/officeDocument/2006/relationships/hyperlink" Target="https://www.mg.gov.br/system/files/media/documento_detalhado/2024-07/decisao_conversao_saneamento.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6.xml"/><Relationship Id="rId4" Type="http://schemas.openxmlformats.org/officeDocument/2006/relationships/hyperlink" Target="https://www.mg.gov.br/system/files/media/documento_detalhado/2024-07/decisao_conversao_saneamento.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7.xml"/><Relationship Id="rId4" Type="http://schemas.openxmlformats.org/officeDocument/2006/relationships/hyperlink" Target="https://www.mg.gov.br/system/files/media/documento_detalhado/2024-07/decisao_conversao_saneamento.pdf"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9.xml"/><Relationship Id="rId4" Type="http://schemas.openxmlformats.org/officeDocument/2006/relationships/hyperlink" Target="https://www.mg.gov.br/system/files/media/documento_detalhado/2024-07/decisao_conversao_saneamen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tabSelected="1" workbookViewId="0">
      <pane xSplit="1" ySplit="3" topLeftCell="B25" activePane="bottomRight" state="frozen"/>
      <selection pane="topRight" activeCell="B1" sqref="B1"/>
      <selection pane="bottomLeft" activeCell="A4" sqref="A4"/>
      <selection pane="bottomRight" activeCell="K11" sqref="K11"/>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3"/>
      <c r="M1" s="4"/>
      <c r="N1" s="2"/>
      <c r="O1" s="2"/>
      <c r="P1" s="2"/>
      <c r="Q1" s="2"/>
      <c r="R1" s="2"/>
      <c r="S1" s="2"/>
      <c r="T1" s="2"/>
      <c r="U1" s="2"/>
      <c r="V1" s="2"/>
      <c r="W1" s="2"/>
      <c r="X1" s="2"/>
      <c r="Y1" s="2"/>
      <c r="Z1" s="2"/>
      <c r="AA1" s="2"/>
      <c r="AB1" s="2"/>
      <c r="AC1" s="2"/>
    </row>
    <row r="2" spans="1:29" ht="34.5" customHeight="1">
      <c r="A2" s="155" t="s">
        <v>0</v>
      </c>
      <c r="B2" s="157" t="s">
        <v>1</v>
      </c>
      <c r="C2" s="158"/>
      <c r="D2" s="159"/>
      <c r="E2" s="157" t="s">
        <v>2</v>
      </c>
      <c r="F2" s="158"/>
      <c r="G2" s="159"/>
      <c r="H2" s="160" t="s">
        <v>3</v>
      </c>
      <c r="I2" s="158"/>
      <c r="J2" s="159"/>
      <c r="K2" s="161" t="s">
        <v>4</v>
      </c>
      <c r="L2" s="153"/>
      <c r="M2" s="5"/>
      <c r="N2" s="153"/>
      <c r="O2" s="153"/>
      <c r="P2" s="153"/>
      <c r="Q2" s="153"/>
      <c r="R2" s="153"/>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5"/>
      <c r="N3" s="154"/>
      <c r="O3" s="154"/>
      <c r="P3" s="154"/>
      <c r="Q3" s="154"/>
      <c r="R3" s="154"/>
      <c r="S3" s="2"/>
      <c r="T3" s="2"/>
      <c r="U3" s="2"/>
      <c r="V3" s="2"/>
      <c r="W3" s="2"/>
      <c r="X3" s="2"/>
      <c r="Y3" s="2"/>
      <c r="Z3" s="2"/>
      <c r="AA3" s="2"/>
      <c r="AB3" s="2"/>
      <c r="AC3" s="2"/>
    </row>
    <row r="4" spans="1:29" ht="85.5">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85" t="s">
        <v>9</v>
      </c>
      <c r="L4" s="17"/>
      <c r="M4" s="17"/>
      <c r="N4" s="18"/>
      <c r="O4" s="19"/>
      <c r="P4" s="18"/>
      <c r="Q4" s="20"/>
      <c r="R4" s="21"/>
      <c r="S4" s="4"/>
      <c r="T4" s="4"/>
      <c r="U4" s="4"/>
      <c r="V4" s="4"/>
      <c r="W4" s="4"/>
      <c r="X4" s="4"/>
      <c r="Y4" s="4"/>
      <c r="Z4" s="4"/>
      <c r="AA4" s="4"/>
      <c r="AB4" s="4"/>
      <c r="AC4" s="4"/>
    </row>
    <row r="5" spans="1:29" ht="86.25">
      <c r="A5" s="22" t="s">
        <v>10</v>
      </c>
      <c r="B5" s="23">
        <v>0</v>
      </c>
      <c r="C5" s="24">
        <v>4400000000</v>
      </c>
      <c r="D5" s="24">
        <f t="shared" si="0"/>
        <v>4400000000</v>
      </c>
      <c r="E5" s="25">
        <v>0</v>
      </c>
      <c r="F5" s="26">
        <v>4400000000</v>
      </c>
      <c r="G5" s="26">
        <f t="shared" si="1"/>
        <v>4400000000</v>
      </c>
      <c r="H5" s="26">
        <v>0</v>
      </c>
      <c r="I5" s="26">
        <f>2000000000+282312603.74+2325834136.37+8387.5+1270000000</f>
        <v>5878155127.6099997</v>
      </c>
      <c r="J5" s="26">
        <f t="shared" si="2"/>
        <v>5878155127.6099997</v>
      </c>
      <c r="K5" s="186" t="s">
        <v>11</v>
      </c>
      <c r="L5" s="17"/>
      <c r="M5" s="17"/>
      <c r="N5" s="18"/>
      <c r="O5" s="19"/>
      <c r="P5" s="18"/>
      <c r="Q5" s="20"/>
      <c r="R5" s="21"/>
      <c r="S5" s="4"/>
      <c r="T5" s="4"/>
      <c r="U5" s="4"/>
      <c r="V5" s="4"/>
      <c r="W5" s="4"/>
      <c r="X5" s="4"/>
      <c r="Y5" s="4"/>
      <c r="Z5" s="4"/>
      <c r="AA5" s="4"/>
      <c r="AB5" s="4"/>
      <c r="AC5" s="4"/>
    </row>
    <row r="6" spans="1:29" ht="342">
      <c r="A6" s="28" t="s">
        <v>12</v>
      </c>
      <c r="B6" s="29">
        <v>2375000000</v>
      </c>
      <c r="C6" s="29">
        <v>125000000</v>
      </c>
      <c r="D6" s="30">
        <f t="shared" si="0"/>
        <v>2500000000</v>
      </c>
      <c r="E6" s="31">
        <v>615920570.82588303</v>
      </c>
      <c r="F6" s="31" t="s">
        <v>13</v>
      </c>
      <c r="G6" s="31">
        <v>2500000000</v>
      </c>
      <c r="H6" s="31">
        <v>1221123567.53</v>
      </c>
      <c r="I6" s="31" t="s">
        <v>14</v>
      </c>
      <c r="J6" s="31">
        <v>3280541858.02</v>
      </c>
      <c r="K6" s="187" t="s">
        <v>15</v>
      </c>
      <c r="L6" s="17"/>
      <c r="M6" s="17"/>
      <c r="N6" s="18"/>
      <c r="O6" s="19"/>
      <c r="P6" s="18"/>
      <c r="Q6" s="20"/>
      <c r="R6" s="33"/>
      <c r="S6" s="5"/>
      <c r="T6" s="5"/>
      <c r="U6" s="5"/>
      <c r="V6" s="5"/>
      <c r="W6" s="5"/>
      <c r="X6" s="5"/>
      <c r="Y6" s="5"/>
      <c r="Z6" s="5"/>
      <c r="AA6" s="5"/>
      <c r="AB6" s="5"/>
      <c r="AC6" s="5"/>
    </row>
    <row r="7" spans="1:29" ht="285">
      <c r="A7" s="28" t="s">
        <v>16</v>
      </c>
      <c r="B7" s="29">
        <v>1500000000</v>
      </c>
      <c r="C7" s="23">
        <v>0</v>
      </c>
      <c r="D7" s="24">
        <f t="shared" si="0"/>
        <v>1500000000</v>
      </c>
      <c r="E7" s="31">
        <v>589658631.65999997</v>
      </c>
      <c r="F7" s="31" t="s">
        <v>17</v>
      </c>
      <c r="G7" s="34">
        <v>1500000000</v>
      </c>
      <c r="H7" s="35">
        <v>976968234.82000005</v>
      </c>
      <c r="I7" s="31" t="s">
        <v>18</v>
      </c>
      <c r="J7" s="31">
        <v>1968325114.8199999</v>
      </c>
      <c r="K7" s="188" t="s">
        <v>19</v>
      </c>
      <c r="L7" s="17"/>
      <c r="M7" s="37"/>
      <c r="N7" s="37"/>
      <c r="O7" s="19"/>
      <c r="P7" s="18"/>
      <c r="Q7" s="20"/>
      <c r="R7" s="33"/>
      <c r="S7" s="5"/>
      <c r="T7" s="5"/>
      <c r="U7" s="5"/>
      <c r="V7" s="5"/>
      <c r="W7" s="5"/>
      <c r="X7" s="5"/>
      <c r="Y7" s="5"/>
      <c r="Z7" s="5"/>
      <c r="AA7" s="5"/>
      <c r="AB7" s="5"/>
      <c r="AC7" s="5"/>
    </row>
    <row r="8" spans="1:29" ht="142.5">
      <c r="A8" s="28" t="s">
        <v>20</v>
      </c>
      <c r="B8" s="23">
        <v>5000000000</v>
      </c>
      <c r="C8" s="23">
        <v>0</v>
      </c>
      <c r="D8" s="24">
        <f t="shared" si="0"/>
        <v>5000000000</v>
      </c>
      <c r="E8" s="23">
        <v>5000000000</v>
      </c>
      <c r="F8" s="23">
        <v>0</v>
      </c>
      <c r="G8" s="24">
        <f t="shared" ref="G8:G17" si="3">SUM(E8:F8)</f>
        <v>5000000000</v>
      </c>
      <c r="H8" s="23">
        <v>6453088500</v>
      </c>
      <c r="I8" s="23">
        <v>0</v>
      </c>
      <c r="J8" s="24">
        <f t="shared" ref="J8:J17" si="4">SUM(H8:I8)</f>
        <v>6453088500</v>
      </c>
      <c r="K8" s="184" t="s">
        <v>21</v>
      </c>
      <c r="L8" s="17"/>
      <c r="M8" s="17"/>
      <c r="N8" s="18"/>
      <c r="O8" s="19"/>
      <c r="P8" s="18"/>
      <c r="Q8" s="20"/>
      <c r="R8" s="39"/>
      <c r="S8" s="4"/>
      <c r="T8" s="4"/>
      <c r="U8" s="4"/>
      <c r="V8" s="4"/>
      <c r="W8" s="4"/>
      <c r="X8" s="4"/>
      <c r="Y8" s="4"/>
      <c r="Z8" s="4"/>
      <c r="AA8" s="4"/>
      <c r="AB8" s="4"/>
      <c r="AC8" s="4"/>
    </row>
    <row r="9" spans="1:29" ht="399">
      <c r="A9" s="28" t="s">
        <v>22</v>
      </c>
      <c r="B9" s="23">
        <v>1550000000</v>
      </c>
      <c r="C9" s="23">
        <v>0</v>
      </c>
      <c r="D9" s="24">
        <f t="shared" si="0"/>
        <v>1550000000</v>
      </c>
      <c r="E9" s="23">
        <f>1550000000-1417001073</f>
        <v>132998927</v>
      </c>
      <c r="F9" s="23">
        <v>1417001073</v>
      </c>
      <c r="G9" s="24">
        <f t="shared" si="3"/>
        <v>1550000000</v>
      </c>
      <c r="H9" s="23">
        <f>172529955.21+2388827.2</f>
        <v>174918782.41</v>
      </c>
      <c r="I9" s="23">
        <f>(1417001073-170000000-400000000-400000000)+211773067.2+503338675.12+526057127.69</f>
        <v>1688169943.0100002</v>
      </c>
      <c r="J9" s="24">
        <f t="shared" si="4"/>
        <v>1863088725.4200003</v>
      </c>
      <c r="K9" s="40" t="s">
        <v>23</v>
      </c>
      <c r="L9" s="17"/>
      <c r="M9" s="17"/>
      <c r="N9" s="18"/>
      <c r="O9" s="19"/>
      <c r="P9" s="18"/>
      <c r="Q9" s="20"/>
      <c r="R9" s="39"/>
      <c r="S9" s="4"/>
      <c r="T9" s="4"/>
      <c r="U9" s="4"/>
      <c r="V9" s="4"/>
      <c r="W9" s="4"/>
      <c r="X9" s="4"/>
      <c r="Y9" s="4"/>
      <c r="Z9" s="4"/>
      <c r="AA9" s="4"/>
      <c r="AB9" s="4"/>
      <c r="AC9" s="4"/>
    </row>
    <row r="10" spans="1:29" ht="57">
      <c r="A10" s="22" t="s">
        <v>24</v>
      </c>
      <c r="B10" s="23">
        <v>0</v>
      </c>
      <c r="C10" s="23">
        <v>2050000000</v>
      </c>
      <c r="D10" s="24">
        <f t="shared" si="0"/>
        <v>2050000000</v>
      </c>
      <c r="E10" s="23">
        <v>0</v>
      </c>
      <c r="F10" s="23">
        <v>2050000000</v>
      </c>
      <c r="G10" s="24">
        <f t="shared" si="3"/>
        <v>2050000000</v>
      </c>
      <c r="H10" s="23">
        <v>0</v>
      </c>
      <c r="I10" s="23">
        <v>3336178050.2800002</v>
      </c>
      <c r="J10" s="24">
        <f t="shared" si="4"/>
        <v>3336178050.2800002</v>
      </c>
      <c r="K10" s="38" t="s">
        <v>25</v>
      </c>
      <c r="L10" s="17"/>
      <c r="M10" s="17"/>
      <c r="N10" s="18"/>
      <c r="O10" s="19"/>
      <c r="P10" s="18"/>
      <c r="Q10" s="20"/>
      <c r="R10" s="39"/>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5021524297.86+(3*541384129.09)</f>
        <v>6645676685.1299992</v>
      </c>
      <c r="J11" s="24">
        <f t="shared" si="4"/>
        <v>6645676685.1299992</v>
      </c>
      <c r="K11" s="184" t="s">
        <v>27</v>
      </c>
      <c r="L11" s="17"/>
      <c r="M11" s="17"/>
      <c r="N11" s="18"/>
      <c r="O11" s="41"/>
      <c r="P11" s="18"/>
      <c r="Q11" s="20"/>
      <c r="R11" s="39"/>
      <c r="S11" s="4"/>
      <c r="T11" s="4"/>
      <c r="U11" s="4"/>
      <c r="V11" s="4"/>
      <c r="W11" s="4"/>
      <c r="X11" s="4"/>
      <c r="Y11" s="4"/>
      <c r="Z11" s="4"/>
      <c r="AA11" s="4"/>
      <c r="AB11" s="4"/>
      <c r="AC11" s="4"/>
    </row>
    <row r="12" spans="1:29" ht="57">
      <c r="A12" s="22" t="s">
        <v>28</v>
      </c>
      <c r="B12" s="23">
        <v>0</v>
      </c>
      <c r="C12" s="23">
        <v>3650000000</v>
      </c>
      <c r="D12" s="24">
        <f t="shared" si="0"/>
        <v>3650000000</v>
      </c>
      <c r="E12" s="23">
        <v>0</v>
      </c>
      <c r="F12" s="23">
        <v>3650000000</v>
      </c>
      <c r="G12" s="24">
        <f t="shared" si="3"/>
        <v>3650000000</v>
      </c>
      <c r="H12" s="23">
        <v>0</v>
      </c>
      <c r="I12" s="23">
        <v>4803847019.7799997</v>
      </c>
      <c r="J12" s="24">
        <f t="shared" si="4"/>
        <v>4803847019.7799997</v>
      </c>
      <c r="K12" s="38" t="s">
        <v>25</v>
      </c>
      <c r="L12" s="17"/>
      <c r="M12" s="17"/>
      <c r="N12" s="18"/>
      <c r="O12" s="19"/>
      <c r="P12" s="18"/>
      <c r="Q12" s="20"/>
      <c r="R12" s="39"/>
      <c r="S12" s="4"/>
      <c r="T12" s="4"/>
      <c r="U12" s="4"/>
      <c r="V12" s="4"/>
      <c r="W12" s="4"/>
      <c r="X12" s="4"/>
      <c r="Y12" s="4"/>
      <c r="Z12" s="4"/>
      <c r="AA12" s="4"/>
      <c r="AB12" s="4"/>
      <c r="AC12" s="4"/>
    </row>
    <row r="13" spans="1:29" ht="28.5">
      <c r="A13" s="22" t="s">
        <v>29</v>
      </c>
      <c r="B13" s="24">
        <v>135000000</v>
      </c>
      <c r="C13" s="23">
        <v>0</v>
      </c>
      <c r="D13" s="24">
        <f t="shared" si="0"/>
        <v>135000000</v>
      </c>
      <c r="E13" s="23">
        <v>135000000</v>
      </c>
      <c r="F13" s="23">
        <v>0</v>
      </c>
      <c r="G13" s="24">
        <f t="shared" si="3"/>
        <v>135000000</v>
      </c>
      <c r="H13" s="23">
        <v>177149260.33358601</v>
      </c>
      <c r="I13" s="23">
        <v>0</v>
      </c>
      <c r="J13" s="24">
        <f t="shared" si="4"/>
        <v>177149260.33358601</v>
      </c>
      <c r="K13" s="38" t="s">
        <v>30</v>
      </c>
      <c r="L13" s="17"/>
      <c r="M13" s="17"/>
      <c r="N13" s="18"/>
      <c r="O13" s="19"/>
      <c r="P13" s="18"/>
      <c r="Q13" s="20"/>
      <c r="R13" s="39"/>
      <c r="S13" s="4"/>
      <c r="T13" s="4"/>
      <c r="U13" s="4"/>
      <c r="V13" s="4"/>
      <c r="W13" s="4"/>
      <c r="X13" s="4"/>
      <c r="Y13" s="4"/>
      <c r="Z13" s="4"/>
      <c r="AA13" s="4"/>
      <c r="AB13" s="4"/>
      <c r="AC13" s="4"/>
    </row>
    <row r="14" spans="1:29" ht="57">
      <c r="A14" s="22" t="s">
        <v>31</v>
      </c>
      <c r="B14" s="23">
        <v>0</v>
      </c>
      <c r="C14" s="23">
        <v>310000000</v>
      </c>
      <c r="D14" s="24">
        <f t="shared" si="0"/>
        <v>310000000</v>
      </c>
      <c r="E14" s="23">
        <v>0</v>
      </c>
      <c r="F14" s="23">
        <v>110000000</v>
      </c>
      <c r="G14" s="24">
        <f t="shared" si="3"/>
        <v>110000000</v>
      </c>
      <c r="H14" s="23">
        <v>0</v>
      </c>
      <c r="I14" s="23">
        <v>275030429.81</v>
      </c>
      <c r="J14" s="24">
        <f t="shared" si="4"/>
        <v>275030429.81</v>
      </c>
      <c r="K14" s="38" t="s">
        <v>32</v>
      </c>
      <c r="L14" s="17"/>
      <c r="M14" s="17"/>
      <c r="N14" s="18"/>
      <c r="O14" s="19"/>
      <c r="P14" s="18"/>
      <c r="Q14" s="20"/>
      <c r="R14" s="42"/>
      <c r="S14" s="4"/>
      <c r="T14" s="4"/>
      <c r="U14" s="4"/>
      <c r="V14" s="4"/>
      <c r="W14" s="4"/>
      <c r="X14" s="4"/>
      <c r="Y14" s="4"/>
      <c r="Z14" s="4"/>
      <c r="AA14" s="4"/>
      <c r="AB14" s="4"/>
      <c r="AC14" s="4"/>
    </row>
    <row r="15" spans="1:29" ht="42.75">
      <c r="A15" s="43" t="s">
        <v>33</v>
      </c>
      <c r="B15" s="24">
        <v>0</v>
      </c>
      <c r="C15" s="23">
        <v>0</v>
      </c>
      <c r="D15" s="24">
        <f t="shared" si="0"/>
        <v>0</v>
      </c>
      <c r="E15" s="23">
        <v>0</v>
      </c>
      <c r="F15" s="23">
        <v>200000000</v>
      </c>
      <c r="G15" s="24">
        <f t="shared" si="3"/>
        <v>200000000</v>
      </c>
      <c r="H15" s="23">
        <v>0</v>
      </c>
      <c r="I15" s="23">
        <v>218552161.58000001</v>
      </c>
      <c r="J15" s="24">
        <f t="shared" si="4"/>
        <v>218552161.58000001</v>
      </c>
      <c r="K15" s="38" t="s">
        <v>34</v>
      </c>
      <c r="L15" s="17"/>
      <c r="M15" s="17"/>
      <c r="N15" s="18"/>
      <c r="O15" s="19"/>
      <c r="P15" s="18"/>
      <c r="Q15" s="20"/>
      <c r="R15" s="42"/>
      <c r="S15" s="4"/>
      <c r="T15" s="4"/>
      <c r="U15" s="4"/>
      <c r="V15" s="4"/>
      <c r="W15" s="4"/>
      <c r="X15" s="4"/>
      <c r="Y15" s="4"/>
      <c r="Z15" s="4"/>
      <c r="AA15" s="4"/>
      <c r="AB15" s="4"/>
      <c r="AC15" s="4"/>
    </row>
    <row r="16" spans="1:29" ht="156.75">
      <c r="A16" s="28" t="s">
        <v>35</v>
      </c>
      <c r="B16" s="23">
        <v>600000000</v>
      </c>
      <c r="C16" s="23">
        <v>100000000</v>
      </c>
      <c r="D16" s="24">
        <f t="shared" si="0"/>
        <v>700000000</v>
      </c>
      <c r="E16" s="23">
        <v>600000000</v>
      </c>
      <c r="F16" s="23">
        <v>100000000</v>
      </c>
      <c r="G16" s="24">
        <f t="shared" si="3"/>
        <v>700000000</v>
      </c>
      <c r="H16" s="23">
        <v>774370620</v>
      </c>
      <c r="I16" s="23">
        <v>129061770</v>
      </c>
      <c r="J16" s="24">
        <f t="shared" si="4"/>
        <v>903432390</v>
      </c>
      <c r="K16" s="184" t="s">
        <v>36</v>
      </c>
      <c r="L16" s="17"/>
      <c r="M16" s="17"/>
      <c r="N16" s="18"/>
      <c r="O16" s="19"/>
      <c r="P16" s="18"/>
      <c r="Q16" s="20"/>
      <c r="R16" s="42"/>
      <c r="S16" s="4"/>
      <c r="T16" s="4"/>
      <c r="U16" s="4"/>
      <c r="V16" s="4"/>
      <c r="W16" s="4"/>
      <c r="X16" s="4"/>
      <c r="Y16" s="4"/>
      <c r="Z16" s="4"/>
      <c r="AA16" s="4"/>
      <c r="AB16" s="4"/>
      <c r="AC16" s="4"/>
    </row>
    <row r="17" spans="1:29" ht="28.5">
      <c r="A17" s="22" t="s">
        <v>37</v>
      </c>
      <c r="B17" s="24">
        <f>71040828+96619306</f>
        <v>167660134</v>
      </c>
      <c r="C17" s="23">
        <v>0</v>
      </c>
      <c r="D17" s="24">
        <f t="shared" si="0"/>
        <v>167660134</v>
      </c>
      <c r="E17" s="24">
        <f>71040828+96619306</f>
        <v>167660134</v>
      </c>
      <c r="F17" s="23">
        <v>0</v>
      </c>
      <c r="G17" s="24">
        <f t="shared" si="3"/>
        <v>167660134</v>
      </c>
      <c r="H17" s="24">
        <f>93220963.953226+126785471.050699</f>
        <v>220006435.003925</v>
      </c>
      <c r="I17" s="23"/>
      <c r="J17" s="24">
        <f t="shared" si="4"/>
        <v>220006435.003925</v>
      </c>
      <c r="K17" s="38" t="s">
        <v>30</v>
      </c>
      <c r="L17" s="17"/>
      <c r="M17" s="17"/>
      <c r="N17" s="18"/>
      <c r="O17" s="19"/>
      <c r="P17" s="18"/>
      <c r="Q17" s="20"/>
      <c r="R17" s="39"/>
      <c r="S17" s="4"/>
      <c r="T17" s="4"/>
      <c r="U17" s="4"/>
      <c r="V17" s="4"/>
      <c r="W17" s="4"/>
      <c r="X17" s="4"/>
      <c r="Y17" s="4"/>
      <c r="Z17" s="4"/>
      <c r="AA17" s="4"/>
      <c r="AB17" s="4"/>
      <c r="AC17" s="4"/>
    </row>
    <row r="18" spans="1:29" ht="15.75" customHeight="1">
      <c r="A18" s="44" t="s">
        <v>38</v>
      </c>
      <c r="B18" s="45">
        <f t="shared" ref="B18:E18" si="5">SUM(B4:B17)</f>
        <v>11327660134</v>
      </c>
      <c r="C18" s="45">
        <f t="shared" si="5"/>
        <v>18585000000</v>
      </c>
      <c r="D18" s="45">
        <f t="shared" si="5"/>
        <v>29912660134</v>
      </c>
      <c r="E18" s="45">
        <f t="shared" si="5"/>
        <v>7241238263.4858828</v>
      </c>
      <c r="F18" s="45">
        <f>SUM(F4:F17)+1884079429.17+910341368.34</f>
        <v>22671421870.509998</v>
      </c>
      <c r="G18" s="45">
        <f t="shared" ref="G18:H18" si="6">SUM(G4:G17)</f>
        <v>29912660134</v>
      </c>
      <c r="H18" s="45">
        <f t="shared" si="6"/>
        <v>9997625400.0975113</v>
      </c>
      <c r="I18" s="45">
        <f>SUM(I4:I17)+2059418290.49+991356880</f>
        <v>29484764523.560005</v>
      </c>
      <c r="J18" s="45">
        <f>SUM(J4:J17)</f>
        <v>39482389923.657509</v>
      </c>
      <c r="K18" s="46"/>
      <c r="L18" s="17"/>
      <c r="M18" s="47"/>
      <c r="N18" s="48"/>
      <c r="O18" s="19"/>
      <c r="P18" s="48"/>
      <c r="Q18" s="48"/>
      <c r="R18" s="49"/>
      <c r="S18" s="50"/>
      <c r="T18" s="50"/>
      <c r="U18" s="50"/>
      <c r="V18" s="50"/>
      <c r="W18" s="50"/>
      <c r="X18" s="50"/>
      <c r="Y18" s="50"/>
      <c r="Z18" s="50"/>
      <c r="AA18" s="50"/>
      <c r="AB18" s="50"/>
      <c r="AC18" s="50"/>
    </row>
    <row r="19" spans="1:29" ht="85.5">
      <c r="A19" s="22" t="s">
        <v>39</v>
      </c>
      <c r="B19" s="23">
        <v>0</v>
      </c>
      <c r="C19" s="23">
        <v>1500000000</v>
      </c>
      <c r="D19" s="24">
        <f t="shared" ref="D19:D22" si="7">SUM(B19:C19)</f>
        <v>1500000000</v>
      </c>
      <c r="E19" s="23">
        <v>0</v>
      </c>
      <c r="F19" s="23">
        <v>1500000000</v>
      </c>
      <c r="G19" s="24">
        <f t="shared" ref="G19:G22" si="8">SUM(E19:F19)</f>
        <v>1500000000</v>
      </c>
      <c r="H19" s="23">
        <v>0</v>
      </c>
      <c r="I19" s="23">
        <v>1935926550</v>
      </c>
      <c r="J19" s="24">
        <f t="shared" ref="J19:J22" si="9">SUM(H19:I19)</f>
        <v>1935926550</v>
      </c>
      <c r="K19" s="184" t="s">
        <v>40</v>
      </c>
      <c r="L19" s="17"/>
      <c r="M19" s="17"/>
      <c r="N19" s="18"/>
      <c r="O19" s="19"/>
      <c r="P19" s="18"/>
      <c r="Q19" s="20"/>
      <c r="R19" s="39"/>
      <c r="S19" s="4"/>
      <c r="T19" s="4"/>
      <c r="U19" s="4"/>
      <c r="V19" s="4"/>
      <c r="W19" s="4"/>
      <c r="X19" s="4"/>
      <c r="Y19" s="4"/>
      <c r="Z19" s="4"/>
      <c r="AA19" s="4"/>
      <c r="AB19" s="4"/>
      <c r="AC19" s="4"/>
    </row>
    <row r="20" spans="1:29" ht="85.5">
      <c r="A20" s="51" t="s">
        <v>41</v>
      </c>
      <c r="B20" s="24">
        <v>4392583672</v>
      </c>
      <c r="C20" s="23">
        <v>0</v>
      </c>
      <c r="D20" s="24">
        <f t="shared" si="7"/>
        <v>4392583672</v>
      </c>
      <c r="E20" s="23">
        <v>4392583672</v>
      </c>
      <c r="F20" s="23">
        <v>0</v>
      </c>
      <c r="G20" s="24">
        <f t="shared" si="8"/>
        <v>4392583672</v>
      </c>
      <c r="H20" s="23">
        <v>5669146235.8100004</v>
      </c>
      <c r="I20" s="23">
        <v>0</v>
      </c>
      <c r="J20" s="24">
        <f t="shared" si="9"/>
        <v>5669146235.8100004</v>
      </c>
      <c r="K20" s="184" t="s">
        <v>40</v>
      </c>
      <c r="L20" s="17"/>
      <c r="M20" s="17"/>
      <c r="N20" s="18"/>
      <c r="O20" s="19"/>
      <c r="P20" s="18"/>
      <c r="Q20" s="20"/>
      <c r="R20" s="39"/>
      <c r="S20" s="4"/>
      <c r="T20" s="4"/>
      <c r="U20" s="4"/>
      <c r="V20" s="4"/>
      <c r="W20" s="4"/>
      <c r="X20" s="4"/>
      <c r="Y20" s="4"/>
      <c r="Z20" s="4"/>
      <c r="AA20" s="4"/>
      <c r="AB20" s="4"/>
      <c r="AC20" s="4"/>
    </row>
    <row r="21" spans="1:29" ht="85.5">
      <c r="A21" s="22" t="s">
        <v>42</v>
      </c>
      <c r="B21" s="24">
        <v>1774471573</v>
      </c>
      <c r="C21" s="23">
        <v>0</v>
      </c>
      <c r="D21" s="24">
        <f t="shared" si="7"/>
        <v>1774471573</v>
      </c>
      <c r="E21" s="23">
        <v>1774471573</v>
      </c>
      <c r="F21" s="23">
        <v>0</v>
      </c>
      <c r="G21" s="24">
        <f t="shared" si="8"/>
        <v>1774471573</v>
      </c>
      <c r="H21" s="23">
        <v>2290164420.2600002</v>
      </c>
      <c r="I21" s="23">
        <v>0</v>
      </c>
      <c r="J21" s="24">
        <f t="shared" si="9"/>
        <v>2290164420.2600002</v>
      </c>
      <c r="K21" s="184" t="s">
        <v>40</v>
      </c>
      <c r="L21" s="17"/>
      <c r="M21" s="17"/>
      <c r="N21" s="18"/>
      <c r="O21" s="19"/>
      <c r="P21" s="18"/>
      <c r="Q21" s="20"/>
      <c r="R21" s="39"/>
      <c r="S21" s="4"/>
      <c r="T21" s="4"/>
      <c r="U21" s="4"/>
      <c r="V21" s="4"/>
      <c r="W21" s="4"/>
      <c r="X21" s="4"/>
      <c r="Y21" s="4"/>
      <c r="Z21" s="4"/>
      <c r="AA21" s="4"/>
      <c r="AB21" s="4"/>
      <c r="AC21" s="4"/>
    </row>
    <row r="22" spans="1:29" ht="85.5">
      <c r="A22" s="22" t="s">
        <v>43</v>
      </c>
      <c r="B22" s="23">
        <v>0</v>
      </c>
      <c r="C22" s="24">
        <v>110051950</v>
      </c>
      <c r="D22" s="24">
        <f t="shared" si="7"/>
        <v>110051950</v>
      </c>
      <c r="E22" s="23">
        <v>0</v>
      </c>
      <c r="F22" s="23">
        <v>110051950</v>
      </c>
      <c r="G22" s="24">
        <f t="shared" si="8"/>
        <v>110051950</v>
      </c>
      <c r="H22" s="23">
        <v>0</v>
      </c>
      <c r="I22" s="23">
        <v>142034994.59</v>
      </c>
      <c r="J22" s="24">
        <f t="shared" si="9"/>
        <v>142034994.59</v>
      </c>
      <c r="K22" s="184" t="s">
        <v>40</v>
      </c>
      <c r="L22" s="17"/>
      <c r="M22" s="17"/>
      <c r="N22" s="18"/>
      <c r="O22" s="19"/>
      <c r="P22" s="18"/>
      <c r="Q22" s="20"/>
      <c r="R22" s="39"/>
      <c r="S22" s="4"/>
      <c r="T22" s="4"/>
      <c r="U22" s="4"/>
      <c r="V22" s="4"/>
      <c r="W22" s="4"/>
      <c r="X22" s="4"/>
      <c r="Y22" s="4"/>
      <c r="Z22" s="4"/>
      <c r="AA22" s="4"/>
      <c r="AB22" s="4"/>
      <c r="AC22" s="4"/>
    </row>
    <row r="23" spans="1:29" ht="15.75" customHeight="1">
      <c r="A23" s="44" t="s">
        <v>44</v>
      </c>
      <c r="B23" s="45">
        <f t="shared" ref="B23:J23" si="10">SUM(B19:B22)</f>
        <v>6167055245</v>
      </c>
      <c r="C23" s="45">
        <f t="shared" si="10"/>
        <v>1610051950</v>
      </c>
      <c r="D23" s="45">
        <f t="shared" si="10"/>
        <v>7777107195</v>
      </c>
      <c r="E23" s="45">
        <f t="shared" si="10"/>
        <v>6167055245</v>
      </c>
      <c r="F23" s="45">
        <f t="shared" si="10"/>
        <v>1610051950</v>
      </c>
      <c r="G23" s="45">
        <f t="shared" si="10"/>
        <v>7777107195</v>
      </c>
      <c r="H23" s="45">
        <f t="shared" si="10"/>
        <v>7959310656.0700006</v>
      </c>
      <c r="I23" s="45">
        <f t="shared" si="10"/>
        <v>2077961544.5899999</v>
      </c>
      <c r="J23" s="45">
        <f t="shared" si="10"/>
        <v>10037272200.66</v>
      </c>
      <c r="K23" s="46"/>
      <c r="L23" s="17"/>
      <c r="M23" s="47"/>
      <c r="N23" s="48"/>
      <c r="O23" s="19"/>
      <c r="P23" s="48"/>
      <c r="Q23" s="48"/>
      <c r="R23" s="49"/>
      <c r="S23" s="50"/>
      <c r="T23" s="50"/>
      <c r="U23" s="50"/>
      <c r="V23" s="50"/>
      <c r="W23" s="50"/>
      <c r="X23" s="50"/>
      <c r="Y23" s="50"/>
      <c r="Z23" s="50"/>
      <c r="AA23" s="50"/>
      <c r="AB23" s="50"/>
      <c r="AC23" s="50"/>
    </row>
    <row r="24" spans="1:29" ht="15.75" customHeight="1">
      <c r="A24" s="52" t="s">
        <v>45</v>
      </c>
      <c r="B24" s="53">
        <f t="shared" ref="B24:J24" si="11">B18+B23</f>
        <v>17494715379</v>
      </c>
      <c r="C24" s="53">
        <f t="shared" si="11"/>
        <v>20195051950</v>
      </c>
      <c r="D24" s="53">
        <f t="shared" si="11"/>
        <v>37689767329</v>
      </c>
      <c r="E24" s="53">
        <f t="shared" si="11"/>
        <v>13408293508.485882</v>
      </c>
      <c r="F24" s="53">
        <f t="shared" si="11"/>
        <v>24281473820.509998</v>
      </c>
      <c r="G24" s="53">
        <f t="shared" si="11"/>
        <v>37689767329</v>
      </c>
      <c r="H24" s="53">
        <f t="shared" si="11"/>
        <v>17956936056.167511</v>
      </c>
      <c r="I24" s="53">
        <f t="shared" si="11"/>
        <v>31562726068.150005</v>
      </c>
      <c r="J24" s="53">
        <f t="shared" si="11"/>
        <v>49519662124.317505</v>
      </c>
      <c r="K24" s="24"/>
      <c r="L24" s="17"/>
      <c r="M24" s="17"/>
      <c r="N24" s="18"/>
      <c r="O24" s="54"/>
      <c r="P24" s="18"/>
      <c r="Q24" s="18"/>
      <c r="R24" s="49"/>
      <c r="S24" s="4"/>
      <c r="T24" s="4"/>
      <c r="U24" s="4"/>
      <c r="V24" s="4"/>
      <c r="W24" s="4"/>
      <c r="X24" s="4"/>
      <c r="Y24" s="4"/>
      <c r="Z24" s="4"/>
      <c r="AA24" s="4"/>
      <c r="AB24" s="4"/>
      <c r="AC24" s="4"/>
    </row>
    <row r="25" spans="1:29" ht="15.75" customHeight="1">
      <c r="A25" s="55"/>
      <c r="B25" s="55"/>
      <c r="C25" s="55"/>
      <c r="D25" s="55"/>
      <c r="E25" s="55"/>
      <c r="F25" s="55"/>
      <c r="G25" s="55"/>
      <c r="H25" s="55"/>
      <c r="I25" s="55"/>
      <c r="J25" s="56"/>
      <c r="K25" s="57"/>
      <c r="L25" s="58"/>
      <c r="M25" s="59"/>
      <c r="N25" s="58"/>
      <c r="O25" s="60"/>
      <c r="P25" s="58"/>
      <c r="Q25" s="58"/>
      <c r="R25" s="58"/>
      <c r="S25" s="4"/>
      <c r="T25" s="4"/>
      <c r="U25" s="4"/>
      <c r="V25" s="4"/>
      <c r="W25" s="4"/>
      <c r="X25" s="4"/>
      <c r="Y25" s="4"/>
      <c r="Z25" s="4"/>
      <c r="AA25" s="4"/>
      <c r="AB25" s="4"/>
      <c r="AC25" s="4"/>
    </row>
    <row r="26" spans="1:29" ht="15.75" customHeight="1">
      <c r="A26" s="55"/>
      <c r="B26" s="55"/>
      <c r="C26" s="55"/>
      <c r="D26" s="55"/>
      <c r="E26" s="55"/>
      <c r="F26" s="55"/>
      <c r="G26" s="55"/>
      <c r="H26" s="55"/>
      <c r="I26" s="55"/>
      <c r="J26" s="61"/>
      <c r="K26" s="57"/>
      <c r="L26" s="58"/>
      <c r="M26" s="59"/>
      <c r="N26" s="58"/>
      <c r="O26" s="62"/>
      <c r="P26" s="58"/>
      <c r="Q26" s="58"/>
      <c r="R26" s="58"/>
      <c r="S26" s="4"/>
      <c r="T26" s="4"/>
      <c r="U26" s="4"/>
      <c r="V26" s="4"/>
      <c r="W26" s="4"/>
      <c r="X26" s="4"/>
      <c r="Y26" s="4"/>
      <c r="Z26" s="4"/>
      <c r="AA26" s="4"/>
      <c r="AB26" s="4"/>
      <c r="AC26" s="4"/>
    </row>
    <row r="27" spans="1:29"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row r="1003" spans="1:29"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2"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pageSetup paperSize="9" orientation="portrait" r:id="rId5"/>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219</v>
      </c>
      <c r="F2" s="158"/>
      <c r="G2" s="159"/>
      <c r="H2" s="160" t="s">
        <v>220</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221</v>
      </c>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2000000000+282312603.74+2325834136.37+8387.5+1141000000</f>
        <v>5749155127.6099997</v>
      </c>
      <c r="J5" s="26">
        <f t="shared" si="2"/>
        <v>5749155127.6099997</v>
      </c>
      <c r="K5" s="75" t="s">
        <v>222</v>
      </c>
      <c r="L5" s="20" t="s">
        <v>221</v>
      </c>
      <c r="M5" s="18"/>
      <c r="N5" s="18"/>
      <c r="O5" s="4"/>
      <c r="P5" s="4"/>
      <c r="Q5" s="4"/>
      <c r="R5" s="4"/>
      <c r="S5" s="4"/>
      <c r="T5" s="4"/>
      <c r="U5" s="4"/>
      <c r="V5" s="4"/>
      <c r="W5" s="4"/>
      <c r="X5" s="4"/>
      <c r="Y5" s="4"/>
      <c r="Z5" s="4"/>
      <c r="AA5" s="4"/>
      <c r="AB5" s="4"/>
    </row>
    <row r="6" spans="1:28" ht="14.25">
      <c r="A6" s="22" t="s">
        <v>12</v>
      </c>
      <c r="B6" s="29">
        <v>2375000000</v>
      </c>
      <c r="C6" s="30">
        <v>125000000</v>
      </c>
      <c r="D6" s="30">
        <f t="shared" si="0"/>
        <v>2500000000</v>
      </c>
      <c r="E6" s="74">
        <v>702718876.22000003</v>
      </c>
      <c r="F6" s="74" t="s">
        <v>196</v>
      </c>
      <c r="G6" s="74">
        <v>2500000000</v>
      </c>
      <c r="H6" s="74">
        <f>1262054854.49654</f>
        <v>1262054854.4965401</v>
      </c>
      <c r="I6" s="74" t="s">
        <v>223</v>
      </c>
      <c r="J6" s="74">
        <f>H6+1901965533.67472</f>
        <v>3164020388.1712599</v>
      </c>
      <c r="K6" s="74" t="s">
        <v>198</v>
      </c>
      <c r="L6" s="20" t="s">
        <v>224</v>
      </c>
      <c r="M6" s="18"/>
      <c r="N6" s="18"/>
      <c r="O6" s="5"/>
      <c r="P6" s="5"/>
      <c r="Q6" s="5"/>
      <c r="R6" s="5"/>
      <c r="S6" s="5"/>
      <c r="T6" s="5"/>
      <c r="U6" s="5"/>
      <c r="V6" s="5"/>
      <c r="W6" s="5"/>
      <c r="X6" s="5"/>
      <c r="Y6" s="5"/>
      <c r="Z6" s="5"/>
      <c r="AA6" s="5"/>
      <c r="AB6" s="5"/>
    </row>
    <row r="7" spans="1:28" ht="128.25">
      <c r="A7" s="28" t="s">
        <v>16</v>
      </c>
      <c r="B7" s="29">
        <v>1500000000</v>
      </c>
      <c r="C7" s="23">
        <v>0</v>
      </c>
      <c r="D7" s="24">
        <f t="shared" si="0"/>
        <v>1500000000</v>
      </c>
      <c r="E7" s="74">
        <v>766739875.00999999</v>
      </c>
      <c r="F7" s="74" t="s">
        <v>200</v>
      </c>
      <c r="G7" s="24">
        <v>1500000000</v>
      </c>
      <c r="H7" s="23">
        <v>1116678258.9617801</v>
      </c>
      <c r="I7" s="74" t="s">
        <v>225</v>
      </c>
      <c r="J7" s="24">
        <f>H7+781733973.940979</f>
        <v>1898412232.9027591</v>
      </c>
      <c r="K7" s="38" t="s">
        <v>202</v>
      </c>
      <c r="L7" s="20" t="s">
        <v>224</v>
      </c>
      <c r="M7" s="37" t="s">
        <v>176</v>
      </c>
      <c r="N7" s="18"/>
      <c r="O7" s="5"/>
      <c r="P7" s="5"/>
      <c r="Q7" s="5"/>
      <c r="R7" s="5"/>
      <c r="S7" s="5"/>
      <c r="T7" s="5"/>
      <c r="U7" s="5"/>
      <c r="V7" s="5"/>
      <c r="W7" s="5"/>
      <c r="X7" s="5"/>
      <c r="Y7" s="5"/>
      <c r="Z7" s="5"/>
      <c r="AA7" s="5"/>
      <c r="AB7" s="5"/>
    </row>
    <row r="8" spans="1:28"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t="s">
        <v>221</v>
      </c>
      <c r="M8" s="18"/>
      <c r="N8" s="18"/>
      <c r="O8" s="4"/>
      <c r="P8" s="4"/>
      <c r="Q8" s="4"/>
      <c r="R8" s="4"/>
      <c r="S8" s="4"/>
      <c r="T8" s="4"/>
      <c r="U8" s="4"/>
      <c r="V8" s="4"/>
      <c r="W8" s="4"/>
      <c r="X8" s="4"/>
      <c r="Y8" s="4"/>
      <c r="Z8" s="4"/>
      <c r="AA8" s="4"/>
      <c r="AB8" s="4"/>
    </row>
    <row r="9" spans="1:28"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203</v>
      </c>
      <c r="L9" s="20" t="s">
        <v>221</v>
      </c>
      <c r="M9" s="18"/>
      <c r="N9" s="18"/>
      <c r="O9" s="4"/>
      <c r="P9" s="4"/>
      <c r="Q9" s="4"/>
      <c r="R9" s="4"/>
      <c r="S9" s="4"/>
      <c r="T9" s="4"/>
      <c r="U9" s="4"/>
      <c r="V9" s="4"/>
      <c r="W9" s="4"/>
      <c r="X9" s="4"/>
      <c r="Y9" s="4"/>
      <c r="Z9" s="4"/>
      <c r="AA9" s="4"/>
      <c r="AB9" s="4"/>
    </row>
    <row r="10" spans="1:28" ht="71.25">
      <c r="A10" s="22" t="s">
        <v>24</v>
      </c>
      <c r="B10" s="23">
        <v>0</v>
      </c>
      <c r="C10" s="23">
        <v>2050000000</v>
      </c>
      <c r="D10" s="24">
        <f t="shared" si="0"/>
        <v>2050000000</v>
      </c>
      <c r="E10" s="23">
        <v>0</v>
      </c>
      <c r="F10" s="23">
        <v>2050000000</v>
      </c>
      <c r="G10" s="24">
        <f t="shared" si="3"/>
        <v>2050000000</v>
      </c>
      <c r="H10" s="23">
        <v>0</v>
      </c>
      <c r="I10" s="23">
        <v>3036648255.4299998</v>
      </c>
      <c r="J10" s="24">
        <f t="shared" si="4"/>
        <v>3036648255.4299998</v>
      </c>
      <c r="K10" s="38" t="s">
        <v>149</v>
      </c>
      <c r="L10" s="20" t="s">
        <v>221</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4227017476.53+(4*522082373.71)</f>
        <v>6315346971.3699999</v>
      </c>
      <c r="J11" s="24">
        <f t="shared" si="4"/>
        <v>6315346971.3699999</v>
      </c>
      <c r="K11" s="38" t="s">
        <v>151</v>
      </c>
      <c r="L11" s="20" t="s">
        <v>221</v>
      </c>
      <c r="M11" s="18"/>
      <c r="N11" s="18"/>
      <c r="O11" s="4"/>
      <c r="P11" s="4"/>
      <c r="Q11" s="4"/>
      <c r="R11" s="4"/>
      <c r="S11" s="4"/>
      <c r="T11" s="4"/>
      <c r="U11" s="4"/>
      <c r="V11" s="4"/>
      <c r="W11" s="4"/>
      <c r="X11" s="4"/>
      <c r="Y11" s="4"/>
      <c r="Z11" s="4"/>
      <c r="AA11" s="4"/>
      <c r="AB11" s="4"/>
    </row>
    <row r="12" spans="1:28" ht="71.25">
      <c r="A12" s="22" t="s">
        <v>28</v>
      </c>
      <c r="B12" s="23">
        <v>0</v>
      </c>
      <c r="C12" s="23">
        <v>3650000000</v>
      </c>
      <c r="D12" s="24">
        <f t="shared" si="0"/>
        <v>3650000000</v>
      </c>
      <c r="E12" s="23">
        <v>0</v>
      </c>
      <c r="F12" s="23">
        <v>3650000000</v>
      </c>
      <c r="G12" s="24">
        <f t="shared" si="3"/>
        <v>3650000000</v>
      </c>
      <c r="H12" s="23">
        <v>0</v>
      </c>
      <c r="I12" s="23">
        <v>4588505606.54</v>
      </c>
      <c r="J12" s="24">
        <f t="shared" si="4"/>
        <v>4588505606.54</v>
      </c>
      <c r="K12" s="38" t="s">
        <v>152</v>
      </c>
      <c r="L12" s="20" t="s">
        <v>221</v>
      </c>
      <c r="M12" s="18"/>
      <c r="N12" s="18"/>
      <c r="O12" s="4"/>
      <c r="P12" s="4"/>
      <c r="Q12" s="4"/>
      <c r="R12" s="4"/>
      <c r="S12" s="4"/>
      <c r="T12" s="4"/>
      <c r="U12" s="4"/>
      <c r="V12" s="4"/>
      <c r="W12" s="4"/>
      <c r="X12" s="4"/>
      <c r="Y12" s="4"/>
      <c r="Z12" s="4"/>
      <c r="AA12" s="4"/>
      <c r="AB12" s="4"/>
    </row>
    <row r="13" spans="1:28" ht="42.75">
      <c r="A13" s="22" t="s">
        <v>29</v>
      </c>
      <c r="B13" s="24">
        <v>135000000</v>
      </c>
      <c r="C13" s="23">
        <v>0</v>
      </c>
      <c r="D13" s="24">
        <f t="shared" si="0"/>
        <v>135000000</v>
      </c>
      <c r="E13" s="23">
        <v>135000000</v>
      </c>
      <c r="F13" s="23">
        <v>0</v>
      </c>
      <c r="G13" s="24">
        <f t="shared" si="3"/>
        <v>135000000</v>
      </c>
      <c r="H13" s="23">
        <v>170857100.96000001</v>
      </c>
      <c r="I13" s="23">
        <v>0</v>
      </c>
      <c r="J13" s="24">
        <f t="shared" si="4"/>
        <v>170857100.96000001</v>
      </c>
      <c r="K13" s="38" t="s">
        <v>204</v>
      </c>
      <c r="L13" s="20" t="s">
        <v>221</v>
      </c>
      <c r="M13" s="18"/>
      <c r="N13" s="18"/>
      <c r="O13" s="4"/>
      <c r="P13" s="4"/>
      <c r="Q13" s="4"/>
      <c r="R13" s="4"/>
      <c r="S13" s="4"/>
      <c r="T13" s="4"/>
      <c r="U13" s="4"/>
      <c r="V13" s="4"/>
      <c r="W13" s="4"/>
      <c r="X13" s="4"/>
      <c r="Y13" s="4"/>
      <c r="Z13" s="4"/>
      <c r="AA13" s="4"/>
      <c r="AB13" s="4"/>
    </row>
    <row r="14" spans="1:28" ht="71.25">
      <c r="A14" s="22" t="s">
        <v>31</v>
      </c>
      <c r="B14" s="23">
        <v>0</v>
      </c>
      <c r="C14" s="23">
        <v>310000000</v>
      </c>
      <c r="D14" s="24">
        <f t="shared" si="0"/>
        <v>310000000</v>
      </c>
      <c r="E14" s="23">
        <v>0</v>
      </c>
      <c r="F14" s="23">
        <v>310000000</v>
      </c>
      <c r="G14" s="24">
        <f t="shared" si="3"/>
        <v>310000000</v>
      </c>
      <c r="H14" s="23">
        <v>0</v>
      </c>
      <c r="I14" s="23">
        <v>453499360.32999998</v>
      </c>
      <c r="J14" s="24">
        <f t="shared" si="4"/>
        <v>453499360.32999998</v>
      </c>
      <c r="K14" s="38" t="s">
        <v>152</v>
      </c>
      <c r="L14" s="20" t="s">
        <v>221</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226</v>
      </c>
      <c r="L15" s="20" t="s">
        <v>221</v>
      </c>
      <c r="M15" s="18"/>
      <c r="N15" s="18"/>
      <c r="O15" s="4"/>
      <c r="P15" s="4"/>
      <c r="Q15" s="4"/>
      <c r="R15" s="4"/>
      <c r="S15" s="4"/>
      <c r="T15" s="4"/>
      <c r="U15" s="4"/>
      <c r="V15" s="4"/>
      <c r="W15" s="4"/>
      <c r="X15" s="4"/>
      <c r="Y15" s="4"/>
      <c r="Z15" s="4"/>
      <c r="AA15" s="4"/>
      <c r="AB15" s="4"/>
    </row>
    <row r="16" spans="1:28" ht="42.75">
      <c r="A16" s="22" t="s">
        <v>37</v>
      </c>
      <c r="B16" s="24">
        <f>71040828+96619306</f>
        <v>167660134</v>
      </c>
      <c r="C16" s="23">
        <v>0</v>
      </c>
      <c r="D16" s="24">
        <f t="shared" si="0"/>
        <v>167660134</v>
      </c>
      <c r="E16" s="24">
        <f>71040828+96619306</f>
        <v>167660134</v>
      </c>
      <c r="F16" s="23">
        <v>0</v>
      </c>
      <c r="G16" s="24">
        <f t="shared" si="3"/>
        <v>167660134</v>
      </c>
      <c r="H16" s="24">
        <f>89909851.2738272+122282181.629983</f>
        <v>212192032.9038102</v>
      </c>
      <c r="I16" s="23"/>
      <c r="J16" s="24">
        <f t="shared" si="4"/>
        <v>212192032.9038102</v>
      </c>
      <c r="K16" s="38" t="s">
        <v>204</v>
      </c>
      <c r="L16" s="20" t="s">
        <v>221</v>
      </c>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8494781174.3221312</v>
      </c>
      <c r="I17" s="45">
        <f>SUM(I4:I16)+1901965533.67+781733973.94</f>
        <v>27948285810.079998</v>
      </c>
      <c r="J17" s="45">
        <f>SUM(J4:J16)</f>
        <v>36443066984.407829</v>
      </c>
      <c r="K17" s="46"/>
      <c r="L17" s="20" t="s">
        <v>221</v>
      </c>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14661836419.322132</v>
      </c>
      <c r="I23" s="73">
        <f t="shared" si="11"/>
        <v>29558337760.079998</v>
      </c>
      <c r="J23" s="73">
        <f t="shared" si="11"/>
        <v>44220174179.407829</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77"/>
      <c r="N1" s="77"/>
      <c r="O1" s="2"/>
      <c r="P1" s="2"/>
      <c r="Q1" s="2"/>
      <c r="R1" s="2"/>
      <c r="S1" s="2"/>
      <c r="T1" s="2"/>
      <c r="U1" s="2"/>
      <c r="V1" s="2"/>
      <c r="W1" s="2"/>
      <c r="X1" s="2"/>
      <c r="Y1" s="2"/>
      <c r="Z1" s="2"/>
      <c r="AA1" s="2"/>
      <c r="AB1" s="2"/>
    </row>
    <row r="2" spans="1:28" ht="34.5" customHeight="1">
      <c r="A2" s="155" t="s">
        <v>0</v>
      </c>
      <c r="B2" s="157" t="s">
        <v>1</v>
      </c>
      <c r="C2" s="158"/>
      <c r="D2" s="159"/>
      <c r="E2" s="157" t="s">
        <v>227</v>
      </c>
      <c r="F2" s="158"/>
      <c r="G2" s="159"/>
      <c r="H2" s="160" t="s">
        <v>228</v>
      </c>
      <c r="I2" s="158"/>
      <c r="J2" s="159"/>
      <c r="K2" s="161" t="s">
        <v>4</v>
      </c>
      <c r="L2" s="162" t="s">
        <v>48</v>
      </c>
      <c r="M2" s="77"/>
      <c r="N2" s="77"/>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77"/>
      <c r="N3" s="77"/>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78"/>
      <c r="N4" s="7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2000000000+282312603.74+2325834136.37+8387.5+1125000000</f>
        <v>5733155127.6099997</v>
      </c>
      <c r="J5" s="26">
        <f t="shared" si="2"/>
        <v>5733155127.6099997</v>
      </c>
      <c r="K5" s="75" t="s">
        <v>229</v>
      </c>
      <c r="L5" s="20"/>
      <c r="M5" s="78"/>
      <c r="N5" s="78"/>
      <c r="O5" s="4"/>
      <c r="P5" s="4"/>
      <c r="Q5" s="4"/>
      <c r="R5" s="4"/>
      <c r="S5" s="4"/>
      <c r="T5" s="4"/>
      <c r="U5" s="4"/>
      <c r="V5" s="4"/>
      <c r="W5" s="4"/>
      <c r="X5" s="4"/>
      <c r="Y5" s="4"/>
      <c r="Z5" s="4"/>
      <c r="AA5" s="4"/>
      <c r="AB5" s="4"/>
    </row>
    <row r="6" spans="1:28" ht="14.25">
      <c r="A6" s="22" t="s">
        <v>12</v>
      </c>
      <c r="B6" s="29">
        <v>2375000000</v>
      </c>
      <c r="C6" s="30">
        <v>125000000</v>
      </c>
      <c r="D6" s="30">
        <f t="shared" si="0"/>
        <v>2500000000</v>
      </c>
      <c r="E6" s="74">
        <v>702718876.22000003</v>
      </c>
      <c r="F6" s="74" t="s">
        <v>196</v>
      </c>
      <c r="G6" s="74">
        <v>2500000000</v>
      </c>
      <c r="H6" s="74">
        <f>1257151961.85</f>
        <v>1257151961.8499999</v>
      </c>
      <c r="I6" s="74" t="s">
        <v>230</v>
      </c>
      <c r="J6" s="74">
        <f>H6+1894576684.61</f>
        <v>3151728646.46</v>
      </c>
      <c r="K6" s="74" t="s">
        <v>198</v>
      </c>
      <c r="L6" s="20" t="s">
        <v>224</v>
      </c>
      <c r="M6" s="78"/>
      <c r="N6" s="78"/>
      <c r="O6" s="5"/>
      <c r="P6" s="5"/>
      <c r="Q6" s="5"/>
      <c r="R6" s="5"/>
      <c r="S6" s="5"/>
      <c r="T6" s="5"/>
      <c r="U6" s="5"/>
      <c r="V6" s="5"/>
      <c r="W6" s="5"/>
      <c r="X6" s="5"/>
      <c r="Y6" s="5"/>
      <c r="Z6" s="5"/>
      <c r="AA6" s="5"/>
      <c r="AB6" s="5"/>
    </row>
    <row r="7" spans="1:28" ht="128.25">
      <c r="A7" s="28" t="s">
        <v>16</v>
      </c>
      <c r="B7" s="29">
        <v>1500000000</v>
      </c>
      <c r="C7" s="23">
        <v>0</v>
      </c>
      <c r="D7" s="24">
        <f t="shared" si="0"/>
        <v>1500000000</v>
      </c>
      <c r="E7" s="74">
        <v>766739875.00999999</v>
      </c>
      <c r="F7" s="74" t="s">
        <v>200</v>
      </c>
      <c r="G7" s="24">
        <v>1500000000</v>
      </c>
      <c r="H7" s="23">
        <v>1112340132.45</v>
      </c>
      <c r="I7" s="74" t="s">
        <v>231</v>
      </c>
      <c r="J7" s="24">
        <f>H7+778697055.42</f>
        <v>1891037187.8699999</v>
      </c>
      <c r="K7" s="38" t="s">
        <v>202</v>
      </c>
      <c r="L7" s="20" t="s">
        <v>224</v>
      </c>
      <c r="M7" s="79" t="s">
        <v>176</v>
      </c>
      <c r="N7" s="78"/>
      <c r="O7" s="5"/>
      <c r="P7" s="5"/>
      <c r="Q7" s="5"/>
      <c r="R7" s="5"/>
      <c r="S7" s="5"/>
      <c r="T7" s="5"/>
      <c r="U7" s="5"/>
      <c r="V7" s="5"/>
      <c r="W7" s="5"/>
      <c r="X7" s="5"/>
      <c r="Y7" s="5"/>
      <c r="Z7" s="5"/>
      <c r="AA7" s="5"/>
      <c r="AB7" s="5"/>
    </row>
    <row r="8" spans="1:28"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78"/>
      <c r="N8" s="78"/>
      <c r="O8" s="4"/>
      <c r="P8" s="4"/>
      <c r="Q8" s="4"/>
      <c r="R8" s="4"/>
      <c r="S8" s="4"/>
      <c r="T8" s="4"/>
      <c r="U8" s="4"/>
      <c r="V8" s="4"/>
      <c r="W8" s="4"/>
      <c r="X8" s="4"/>
      <c r="Y8" s="4"/>
      <c r="Z8" s="4"/>
      <c r="AA8" s="4"/>
      <c r="AB8" s="4"/>
    </row>
    <row r="9" spans="1:28"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232</v>
      </c>
      <c r="L9" s="20"/>
      <c r="M9" s="78"/>
      <c r="N9" s="78"/>
      <c r="O9" s="4"/>
      <c r="P9" s="4"/>
      <c r="Q9" s="4"/>
      <c r="R9" s="4"/>
      <c r="S9" s="4"/>
      <c r="T9" s="4"/>
      <c r="U9" s="4"/>
      <c r="V9" s="4"/>
      <c r="W9" s="4"/>
      <c r="X9" s="4"/>
      <c r="Y9" s="4"/>
      <c r="Z9" s="4"/>
      <c r="AA9" s="4"/>
      <c r="AB9" s="4"/>
    </row>
    <row r="10" spans="1:28" ht="71.25">
      <c r="A10" s="22" t="s">
        <v>24</v>
      </c>
      <c r="B10" s="23">
        <v>0</v>
      </c>
      <c r="C10" s="23">
        <v>2050000000</v>
      </c>
      <c r="D10" s="24">
        <f t="shared" si="0"/>
        <v>2050000000</v>
      </c>
      <c r="E10" s="23">
        <v>0</v>
      </c>
      <c r="F10" s="23">
        <v>2050000000</v>
      </c>
      <c r="G10" s="24">
        <f t="shared" si="3"/>
        <v>2050000000</v>
      </c>
      <c r="H10" s="23">
        <v>0</v>
      </c>
      <c r="I10" s="23">
        <v>3013274223.4899998</v>
      </c>
      <c r="J10" s="24">
        <f t="shared" si="4"/>
        <v>3013274223.4899998</v>
      </c>
      <c r="K10" s="38" t="s">
        <v>149</v>
      </c>
      <c r="L10" s="20"/>
      <c r="M10" s="78"/>
      <c r="N10" s="7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3686399101.15+(5*518269874.82)</f>
        <v>6277748475.25</v>
      </c>
      <c r="J11" s="24">
        <f t="shared" si="4"/>
        <v>6277748475.25</v>
      </c>
      <c r="K11" s="38" t="s">
        <v>151</v>
      </c>
      <c r="L11" s="20"/>
      <c r="M11" s="78"/>
      <c r="N11" s="78"/>
      <c r="O11" s="4"/>
      <c r="P11" s="4"/>
      <c r="Q11" s="4"/>
      <c r="R11" s="4"/>
      <c r="S11" s="4"/>
      <c r="T11" s="4"/>
      <c r="U11" s="4"/>
      <c r="V11" s="4"/>
      <c r="W11" s="4"/>
      <c r="X11" s="4"/>
      <c r="Y11" s="4"/>
      <c r="Z11" s="4"/>
      <c r="AA11" s="4"/>
      <c r="AB11" s="4"/>
    </row>
    <row r="12" spans="1:28" ht="71.25">
      <c r="A12" s="22" t="s">
        <v>28</v>
      </c>
      <c r="B12" s="23">
        <v>0</v>
      </c>
      <c r="C12" s="23">
        <v>3650000000</v>
      </c>
      <c r="D12" s="24">
        <f t="shared" si="0"/>
        <v>3650000000</v>
      </c>
      <c r="E12" s="23">
        <v>0</v>
      </c>
      <c r="F12" s="23">
        <v>3650000000</v>
      </c>
      <c r="G12" s="24">
        <f t="shared" si="3"/>
        <v>3650000000</v>
      </c>
      <c r="H12" s="23">
        <v>0</v>
      </c>
      <c r="I12" s="23">
        <v>4572399121</v>
      </c>
      <c r="J12" s="24">
        <f t="shared" si="4"/>
        <v>4572399121</v>
      </c>
      <c r="K12" s="38" t="s">
        <v>152</v>
      </c>
      <c r="L12" s="20"/>
      <c r="M12" s="78"/>
      <c r="N12" s="78"/>
      <c r="O12" s="4"/>
      <c r="P12" s="4"/>
      <c r="Q12" s="4"/>
      <c r="R12" s="4"/>
      <c r="S12" s="4"/>
      <c r="T12" s="4"/>
      <c r="U12" s="4"/>
      <c r="V12" s="4"/>
      <c r="W12" s="4"/>
      <c r="X12" s="4"/>
      <c r="Y12" s="4"/>
      <c r="Z12" s="4"/>
      <c r="AA12" s="4"/>
      <c r="AB12" s="4"/>
    </row>
    <row r="13" spans="1:28" ht="42.75">
      <c r="A13" s="22" t="s">
        <v>29</v>
      </c>
      <c r="B13" s="24">
        <v>135000000</v>
      </c>
      <c r="C13" s="23">
        <v>0</v>
      </c>
      <c r="D13" s="24">
        <f t="shared" si="0"/>
        <v>135000000</v>
      </c>
      <c r="E13" s="23">
        <v>135000000</v>
      </c>
      <c r="F13" s="23">
        <v>0</v>
      </c>
      <c r="G13" s="24">
        <f t="shared" si="3"/>
        <v>135000000</v>
      </c>
      <c r="H13" s="23">
        <v>170193346.908306</v>
      </c>
      <c r="I13" s="23">
        <v>0</v>
      </c>
      <c r="J13" s="24">
        <f t="shared" si="4"/>
        <v>170193346.908306</v>
      </c>
      <c r="K13" s="38" t="s">
        <v>233</v>
      </c>
      <c r="L13" s="20"/>
      <c r="M13" s="78"/>
      <c r="N13" s="78"/>
      <c r="O13" s="4"/>
      <c r="P13" s="4"/>
      <c r="Q13" s="4"/>
      <c r="R13" s="4"/>
      <c r="S13" s="4"/>
      <c r="T13" s="4"/>
      <c r="U13" s="4"/>
      <c r="V13" s="4"/>
      <c r="W13" s="4"/>
      <c r="X13" s="4"/>
      <c r="Y13" s="4"/>
      <c r="Z13" s="4"/>
      <c r="AA13" s="4"/>
      <c r="AB13" s="4"/>
    </row>
    <row r="14" spans="1:28" ht="71.25">
      <c r="A14" s="22" t="s">
        <v>31</v>
      </c>
      <c r="B14" s="23">
        <v>0</v>
      </c>
      <c r="C14" s="23">
        <v>310000000</v>
      </c>
      <c r="D14" s="24">
        <f t="shared" si="0"/>
        <v>310000000</v>
      </c>
      <c r="E14" s="23">
        <v>0</v>
      </c>
      <c r="F14" s="23">
        <v>310000000</v>
      </c>
      <c r="G14" s="24">
        <f t="shared" si="3"/>
        <v>310000000</v>
      </c>
      <c r="H14" s="23">
        <v>0</v>
      </c>
      <c r="I14" s="23">
        <v>450307215.81999999</v>
      </c>
      <c r="J14" s="24">
        <f t="shared" si="4"/>
        <v>450307215.81999999</v>
      </c>
      <c r="K14" s="38" t="s">
        <v>152</v>
      </c>
      <c r="L14" s="20"/>
      <c r="M14" s="78"/>
      <c r="N14" s="7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234</v>
      </c>
      <c r="L15" s="20"/>
      <c r="M15" s="78"/>
      <c r="N15" s="78"/>
      <c r="O15" s="4"/>
      <c r="P15" s="4"/>
      <c r="Q15" s="4"/>
      <c r="R15" s="4"/>
      <c r="S15" s="4"/>
      <c r="T15" s="4"/>
      <c r="U15" s="4"/>
      <c r="V15" s="4"/>
      <c r="W15" s="4"/>
      <c r="X15" s="4"/>
      <c r="Y15" s="4"/>
      <c r="Z15" s="4"/>
      <c r="AA15" s="4"/>
      <c r="AB15" s="4"/>
    </row>
    <row r="16" spans="1:28" ht="42.75">
      <c r="A16" s="22" t="s">
        <v>37</v>
      </c>
      <c r="B16" s="24">
        <f>71040828+96619306</f>
        <v>167660134</v>
      </c>
      <c r="C16" s="23">
        <v>0</v>
      </c>
      <c r="D16" s="24">
        <f t="shared" si="0"/>
        <v>167660134</v>
      </c>
      <c r="E16" s="24">
        <f>71040828+96619306</f>
        <v>167660134</v>
      </c>
      <c r="F16" s="23">
        <v>0</v>
      </c>
      <c r="G16" s="24">
        <f t="shared" si="3"/>
        <v>167660134</v>
      </c>
      <c r="H16" s="24">
        <f>89560565.070054+121807133.808132</f>
        <v>211367698.87818599</v>
      </c>
      <c r="I16" s="23"/>
      <c r="J16" s="24">
        <f t="shared" si="4"/>
        <v>211367698.87818599</v>
      </c>
      <c r="K16" s="38" t="s">
        <v>233</v>
      </c>
      <c r="L16" s="20"/>
      <c r="M16" s="78"/>
      <c r="N16" s="7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8484052067.0864925</v>
      </c>
      <c r="I17" s="45">
        <f>SUM(I4:I16)+1894576684.61+778697055.42</f>
        <v>27841588884.389999</v>
      </c>
      <c r="J17" s="45">
        <f>SUM(J4:J16)</f>
        <v>36325640951.476486</v>
      </c>
      <c r="K17" s="46"/>
      <c r="L17" s="20"/>
      <c r="M17" s="80"/>
      <c r="N17" s="8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78"/>
      <c r="N18" s="7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78"/>
      <c r="N19" s="7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78"/>
      <c r="N20" s="7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78"/>
      <c r="N21" s="7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80"/>
      <c r="N22" s="80"/>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14651107312.086493</v>
      </c>
      <c r="I23" s="73">
        <f t="shared" si="11"/>
        <v>29451640834.389999</v>
      </c>
      <c r="J23" s="73">
        <f t="shared" si="11"/>
        <v>44102748146.476486</v>
      </c>
      <c r="K23" s="24"/>
      <c r="L23" s="17"/>
      <c r="M23" s="78"/>
      <c r="N23" s="7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82"/>
      <c r="N24" s="82"/>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77"/>
      <c r="N25" s="77"/>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77"/>
      <c r="N26" s="77"/>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77"/>
      <c r="N27" s="77"/>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77"/>
      <c r="N28" s="77"/>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77"/>
      <c r="N29" s="77"/>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77"/>
      <c r="N30" s="77"/>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77"/>
      <c r="N31" s="77"/>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77"/>
      <c r="N32" s="77"/>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77"/>
      <c r="N33" s="77"/>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77"/>
      <c r="N34" s="77"/>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77"/>
      <c r="N35" s="77"/>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77"/>
      <c r="N36" s="77"/>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77"/>
      <c r="N37" s="77"/>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77"/>
      <c r="N38" s="77"/>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77"/>
      <c r="N39" s="77"/>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77"/>
      <c r="N40" s="77"/>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77"/>
      <c r="N41" s="77"/>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77"/>
      <c r="N42" s="77"/>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77"/>
      <c r="N43" s="77"/>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77"/>
      <c r="N44" s="77"/>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77"/>
      <c r="N45" s="77"/>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77"/>
      <c r="N46" s="77"/>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77"/>
      <c r="N47" s="77"/>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77"/>
      <c r="N48" s="77"/>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77"/>
      <c r="N49" s="77"/>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77"/>
      <c r="N50" s="77"/>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77"/>
      <c r="N51" s="77"/>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77"/>
      <c r="N52" s="77"/>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77"/>
      <c r="N53" s="77"/>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77"/>
      <c r="N54" s="77"/>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77"/>
      <c r="N55" s="77"/>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77"/>
      <c r="N56" s="77"/>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77"/>
      <c r="N57" s="77"/>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77"/>
      <c r="N58" s="77"/>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77"/>
      <c r="N59" s="77"/>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77"/>
      <c r="N60" s="77"/>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77"/>
      <c r="N61" s="77"/>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77"/>
      <c r="N62" s="77"/>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77"/>
      <c r="N63" s="77"/>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77"/>
      <c r="N64" s="77"/>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77"/>
      <c r="N65" s="77"/>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77"/>
      <c r="N66" s="77"/>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77"/>
      <c r="N67" s="77"/>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77"/>
      <c r="N68" s="77"/>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77"/>
      <c r="N69" s="77"/>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77"/>
      <c r="N70" s="77"/>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77"/>
      <c r="N71" s="77"/>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77"/>
      <c r="N72" s="77"/>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77"/>
      <c r="N73" s="77"/>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77"/>
      <c r="N74" s="77"/>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77"/>
      <c r="N75" s="77"/>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77"/>
      <c r="N76" s="77"/>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77"/>
      <c r="N77" s="77"/>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77"/>
      <c r="N78" s="77"/>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77"/>
      <c r="N79" s="77"/>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77"/>
      <c r="N80" s="77"/>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77"/>
      <c r="N81" s="77"/>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77"/>
      <c r="N82" s="77"/>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77"/>
      <c r="N83" s="77"/>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77"/>
      <c r="N84" s="77"/>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77"/>
      <c r="N85" s="77"/>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77"/>
      <c r="N86" s="77"/>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77"/>
      <c r="N87" s="77"/>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77"/>
      <c r="N88" s="77"/>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77"/>
      <c r="N89" s="77"/>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77"/>
      <c r="N90" s="77"/>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77"/>
      <c r="N91" s="77"/>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77"/>
      <c r="N92" s="77"/>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77"/>
      <c r="N93" s="77"/>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77"/>
      <c r="N94" s="77"/>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77"/>
      <c r="N95" s="77"/>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77"/>
      <c r="N96" s="77"/>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77"/>
      <c r="N97" s="77"/>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77"/>
      <c r="N98" s="77"/>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77"/>
      <c r="N99" s="77"/>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77"/>
      <c r="N100" s="77"/>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77"/>
      <c r="N101" s="77"/>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77"/>
      <c r="N102" s="77"/>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77"/>
      <c r="N103" s="77"/>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77"/>
      <c r="N104" s="77"/>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77"/>
      <c r="N105" s="77"/>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77"/>
      <c r="N106" s="77"/>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77"/>
      <c r="N107" s="77"/>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77"/>
      <c r="N108" s="77"/>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77"/>
      <c r="N109" s="77"/>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77"/>
      <c r="N110" s="77"/>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77"/>
      <c r="N111" s="77"/>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77"/>
      <c r="N112" s="77"/>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77"/>
      <c r="N113" s="77"/>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77"/>
      <c r="N114" s="77"/>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77"/>
      <c r="N115" s="77"/>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77"/>
      <c r="N116" s="77"/>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77"/>
      <c r="N117" s="77"/>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77"/>
      <c r="N118" s="77"/>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77"/>
      <c r="N119" s="77"/>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77"/>
      <c r="N120" s="77"/>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77"/>
      <c r="N121" s="77"/>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77"/>
      <c r="N122" s="77"/>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77"/>
      <c r="N123" s="77"/>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77"/>
      <c r="N124" s="77"/>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77"/>
      <c r="N125" s="77"/>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77"/>
      <c r="N126" s="77"/>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77"/>
      <c r="N127" s="77"/>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77"/>
      <c r="N128" s="77"/>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77"/>
      <c r="N129" s="77"/>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77"/>
      <c r="N130" s="77"/>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77"/>
      <c r="N131" s="77"/>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77"/>
      <c r="N132" s="77"/>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77"/>
      <c r="N133" s="77"/>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77"/>
      <c r="N134" s="77"/>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77"/>
      <c r="N135" s="77"/>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77"/>
      <c r="N136" s="77"/>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77"/>
      <c r="N137" s="77"/>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77"/>
      <c r="N138" s="77"/>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77"/>
      <c r="N139" s="77"/>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77"/>
      <c r="N140" s="77"/>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77"/>
      <c r="N141" s="77"/>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77"/>
      <c r="N142" s="77"/>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77"/>
      <c r="N143" s="77"/>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77"/>
      <c r="N144" s="77"/>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77"/>
      <c r="N145" s="77"/>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77"/>
      <c r="N146" s="77"/>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77"/>
      <c r="N147" s="77"/>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77"/>
      <c r="N148" s="77"/>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77"/>
      <c r="N149" s="77"/>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77"/>
      <c r="N150" s="77"/>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77"/>
      <c r="N151" s="77"/>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77"/>
      <c r="N152" s="77"/>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77"/>
      <c r="N153" s="77"/>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77"/>
      <c r="N154" s="77"/>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77"/>
      <c r="N155" s="77"/>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77"/>
      <c r="N156" s="77"/>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77"/>
      <c r="N157" s="77"/>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77"/>
      <c r="N158" s="77"/>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77"/>
      <c r="N159" s="77"/>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77"/>
      <c r="N160" s="77"/>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77"/>
      <c r="N161" s="77"/>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77"/>
      <c r="N162" s="77"/>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77"/>
      <c r="N163" s="77"/>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77"/>
      <c r="N164" s="77"/>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77"/>
      <c r="N165" s="77"/>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77"/>
      <c r="N166" s="77"/>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77"/>
      <c r="N167" s="77"/>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77"/>
      <c r="N168" s="77"/>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77"/>
      <c r="N169" s="77"/>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77"/>
      <c r="N170" s="77"/>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77"/>
      <c r="N171" s="77"/>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77"/>
      <c r="N172" s="77"/>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77"/>
      <c r="N173" s="77"/>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77"/>
      <c r="N174" s="77"/>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77"/>
      <c r="N175" s="77"/>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77"/>
      <c r="N176" s="77"/>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77"/>
      <c r="N177" s="77"/>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77"/>
      <c r="N178" s="77"/>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77"/>
      <c r="N179" s="77"/>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77"/>
      <c r="N180" s="77"/>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77"/>
      <c r="N181" s="77"/>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77"/>
      <c r="N182" s="77"/>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77"/>
      <c r="N183" s="77"/>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77"/>
      <c r="N184" s="77"/>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77"/>
      <c r="N185" s="77"/>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77"/>
      <c r="N186" s="77"/>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77"/>
      <c r="N187" s="77"/>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77"/>
      <c r="N188" s="77"/>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77"/>
      <c r="N189" s="77"/>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77"/>
      <c r="N190" s="77"/>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77"/>
      <c r="N191" s="77"/>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77"/>
      <c r="N192" s="77"/>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77"/>
      <c r="N193" s="77"/>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77"/>
      <c r="N194" s="77"/>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77"/>
      <c r="N195" s="77"/>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77"/>
      <c r="N196" s="77"/>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77"/>
      <c r="N197" s="77"/>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77"/>
      <c r="N198" s="77"/>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77"/>
      <c r="N199" s="77"/>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77"/>
      <c r="N200" s="77"/>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77"/>
      <c r="N201" s="77"/>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77"/>
      <c r="N202" s="77"/>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77"/>
      <c r="N203" s="77"/>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77"/>
      <c r="N204" s="77"/>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77"/>
      <c r="N205" s="77"/>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77"/>
      <c r="N206" s="77"/>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77"/>
      <c r="N207" s="77"/>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77"/>
      <c r="N208" s="77"/>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77"/>
      <c r="N209" s="77"/>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77"/>
      <c r="N210" s="77"/>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77"/>
      <c r="N211" s="77"/>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77"/>
      <c r="N212" s="77"/>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77"/>
      <c r="N213" s="77"/>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77"/>
      <c r="N214" s="77"/>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77"/>
      <c r="N215" s="77"/>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77"/>
      <c r="N216" s="77"/>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77"/>
      <c r="N217" s="77"/>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77"/>
      <c r="N218" s="77"/>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77"/>
      <c r="N219" s="77"/>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77"/>
      <c r="N220" s="77"/>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77"/>
      <c r="N221" s="77"/>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77"/>
      <c r="N222" s="77"/>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77"/>
      <c r="N223" s="77"/>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77"/>
      <c r="N224" s="77"/>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77"/>
      <c r="N225" s="77"/>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77"/>
      <c r="N226" s="77"/>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77"/>
      <c r="N227" s="77"/>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77"/>
      <c r="N228" s="77"/>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77"/>
      <c r="N229" s="77"/>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77"/>
      <c r="N230" s="77"/>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77"/>
      <c r="N231" s="77"/>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77"/>
      <c r="N232" s="77"/>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77"/>
      <c r="N233" s="77"/>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77"/>
      <c r="N234" s="77"/>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77"/>
      <c r="N235" s="77"/>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77"/>
      <c r="N236" s="77"/>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77"/>
      <c r="N237" s="77"/>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77"/>
      <c r="N238" s="77"/>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77"/>
      <c r="N239" s="77"/>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77"/>
      <c r="N240" s="77"/>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77"/>
      <c r="N241" s="77"/>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77"/>
      <c r="N242" s="77"/>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77"/>
      <c r="N243" s="77"/>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77"/>
      <c r="N244" s="77"/>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77"/>
      <c r="N245" s="77"/>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77"/>
      <c r="N246" s="77"/>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77"/>
      <c r="N247" s="77"/>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77"/>
      <c r="N248" s="77"/>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77"/>
      <c r="N249" s="77"/>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77"/>
      <c r="N250" s="77"/>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77"/>
      <c r="N251" s="77"/>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77"/>
      <c r="N252" s="77"/>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77"/>
      <c r="N253" s="77"/>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77"/>
      <c r="N254" s="77"/>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77"/>
      <c r="N255" s="77"/>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77"/>
      <c r="N256" s="77"/>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77"/>
      <c r="N257" s="77"/>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77"/>
      <c r="N258" s="77"/>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77"/>
      <c r="N259" s="77"/>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77"/>
      <c r="N260" s="77"/>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77"/>
      <c r="N261" s="77"/>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77"/>
      <c r="N262" s="77"/>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77"/>
      <c r="N263" s="77"/>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77"/>
      <c r="N264" s="77"/>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77"/>
      <c r="N265" s="77"/>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77"/>
      <c r="N266" s="77"/>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77"/>
      <c r="N267" s="77"/>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77"/>
      <c r="N268" s="77"/>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77"/>
      <c r="N269" s="77"/>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77"/>
      <c r="N270" s="77"/>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77"/>
      <c r="N271" s="77"/>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77"/>
      <c r="N272" s="77"/>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77"/>
      <c r="N273" s="77"/>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77"/>
      <c r="N274" s="77"/>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77"/>
      <c r="N275" s="77"/>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77"/>
      <c r="N276" s="77"/>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77"/>
      <c r="N277" s="77"/>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77"/>
      <c r="N278" s="77"/>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77"/>
      <c r="N279" s="77"/>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77"/>
      <c r="N280" s="77"/>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77"/>
      <c r="N281" s="77"/>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77"/>
      <c r="N282" s="77"/>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77"/>
      <c r="N283" s="77"/>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77"/>
      <c r="N284" s="77"/>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77"/>
      <c r="N285" s="77"/>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77"/>
      <c r="N286" s="77"/>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77"/>
      <c r="N287" s="77"/>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77"/>
      <c r="N288" s="77"/>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77"/>
      <c r="N289" s="77"/>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77"/>
      <c r="N290" s="77"/>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77"/>
      <c r="N291" s="77"/>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77"/>
      <c r="N292" s="77"/>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77"/>
      <c r="N293" s="77"/>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77"/>
      <c r="N294" s="77"/>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77"/>
      <c r="N295" s="77"/>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77"/>
      <c r="N296" s="77"/>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77"/>
      <c r="N297" s="77"/>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77"/>
      <c r="N298" s="77"/>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77"/>
      <c r="N299" s="77"/>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77"/>
      <c r="N300" s="77"/>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77"/>
      <c r="N301" s="77"/>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77"/>
      <c r="N302" s="77"/>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77"/>
      <c r="N303" s="77"/>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77"/>
      <c r="N304" s="77"/>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77"/>
      <c r="N305" s="77"/>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77"/>
      <c r="N306" s="77"/>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77"/>
      <c r="N307" s="77"/>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77"/>
      <c r="N308" s="77"/>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77"/>
      <c r="N309" s="77"/>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77"/>
      <c r="N310" s="77"/>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77"/>
      <c r="N311" s="77"/>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77"/>
      <c r="N312" s="77"/>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77"/>
      <c r="N313" s="77"/>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77"/>
      <c r="N314" s="77"/>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77"/>
      <c r="N315" s="77"/>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77"/>
      <c r="N316" s="77"/>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77"/>
      <c r="N317" s="77"/>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77"/>
      <c r="N318" s="77"/>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77"/>
      <c r="N319" s="77"/>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77"/>
      <c r="N320" s="77"/>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77"/>
      <c r="N321" s="77"/>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77"/>
      <c r="N322" s="77"/>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77"/>
      <c r="N323" s="77"/>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77"/>
      <c r="N324" s="77"/>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77"/>
      <c r="N325" s="77"/>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77"/>
      <c r="N326" s="77"/>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77"/>
      <c r="N327" s="77"/>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77"/>
      <c r="N328" s="77"/>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77"/>
      <c r="N329" s="77"/>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77"/>
      <c r="N330" s="77"/>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77"/>
      <c r="N331" s="77"/>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77"/>
      <c r="N332" s="77"/>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77"/>
      <c r="N333" s="77"/>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77"/>
      <c r="N334" s="77"/>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77"/>
      <c r="N335" s="77"/>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77"/>
      <c r="N336" s="77"/>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77"/>
      <c r="N337" s="77"/>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77"/>
      <c r="N338" s="77"/>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77"/>
      <c r="N339" s="77"/>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77"/>
      <c r="N340" s="77"/>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77"/>
      <c r="N341" s="77"/>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77"/>
      <c r="N342" s="77"/>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77"/>
      <c r="N343" s="77"/>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77"/>
      <c r="N344" s="77"/>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77"/>
      <c r="N345" s="77"/>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77"/>
      <c r="N346" s="77"/>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77"/>
      <c r="N347" s="77"/>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77"/>
      <c r="N348" s="77"/>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77"/>
      <c r="N349" s="77"/>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77"/>
      <c r="N350" s="77"/>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77"/>
      <c r="N351" s="77"/>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77"/>
      <c r="N352" s="77"/>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77"/>
      <c r="N353" s="77"/>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77"/>
      <c r="N354" s="77"/>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77"/>
      <c r="N355" s="77"/>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77"/>
      <c r="N356" s="77"/>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77"/>
      <c r="N357" s="77"/>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77"/>
      <c r="N358" s="77"/>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77"/>
      <c r="N359" s="77"/>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77"/>
      <c r="N360" s="77"/>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77"/>
      <c r="N361" s="77"/>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77"/>
      <c r="N362" s="77"/>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77"/>
      <c r="N363" s="77"/>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77"/>
      <c r="N364" s="77"/>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77"/>
      <c r="N365" s="77"/>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77"/>
      <c r="N366" s="77"/>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77"/>
      <c r="N367" s="77"/>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77"/>
      <c r="N368" s="77"/>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77"/>
      <c r="N369" s="77"/>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77"/>
      <c r="N370" s="77"/>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77"/>
      <c r="N371" s="77"/>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77"/>
      <c r="N372" s="77"/>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77"/>
      <c r="N373" s="77"/>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77"/>
      <c r="N374" s="77"/>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77"/>
      <c r="N375" s="77"/>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77"/>
      <c r="N376" s="77"/>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77"/>
      <c r="N377" s="77"/>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77"/>
      <c r="N378" s="77"/>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77"/>
      <c r="N379" s="77"/>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77"/>
      <c r="N380" s="77"/>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77"/>
      <c r="N381" s="77"/>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77"/>
      <c r="N382" s="77"/>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77"/>
      <c r="N383" s="77"/>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77"/>
      <c r="N384" s="77"/>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77"/>
      <c r="N385" s="77"/>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77"/>
      <c r="N386" s="77"/>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77"/>
      <c r="N387" s="77"/>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77"/>
      <c r="N388" s="77"/>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77"/>
      <c r="N389" s="77"/>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77"/>
      <c r="N390" s="77"/>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77"/>
      <c r="N391" s="77"/>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77"/>
      <c r="N392" s="77"/>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77"/>
      <c r="N393" s="77"/>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77"/>
      <c r="N394" s="77"/>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77"/>
      <c r="N395" s="77"/>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77"/>
      <c r="N396" s="77"/>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77"/>
      <c r="N397" s="77"/>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77"/>
      <c r="N398" s="77"/>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77"/>
      <c r="N399" s="77"/>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77"/>
      <c r="N400" s="77"/>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77"/>
      <c r="N401" s="77"/>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77"/>
      <c r="N402" s="77"/>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77"/>
      <c r="N403" s="77"/>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77"/>
      <c r="N404" s="77"/>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77"/>
      <c r="N405" s="77"/>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77"/>
      <c r="N406" s="77"/>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77"/>
      <c r="N407" s="77"/>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77"/>
      <c r="N408" s="77"/>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77"/>
      <c r="N409" s="77"/>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77"/>
      <c r="N410" s="77"/>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77"/>
      <c r="N411" s="77"/>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77"/>
      <c r="N412" s="77"/>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77"/>
      <c r="N413" s="77"/>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77"/>
      <c r="N414" s="77"/>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77"/>
      <c r="N415" s="77"/>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77"/>
      <c r="N416" s="77"/>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77"/>
      <c r="N417" s="77"/>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77"/>
      <c r="N418" s="77"/>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77"/>
      <c r="N419" s="77"/>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77"/>
      <c r="N420" s="77"/>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77"/>
      <c r="N421" s="77"/>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77"/>
      <c r="N422" s="77"/>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77"/>
      <c r="N423" s="77"/>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77"/>
      <c r="N424" s="77"/>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77"/>
      <c r="N425" s="77"/>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77"/>
      <c r="N426" s="77"/>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77"/>
      <c r="N427" s="77"/>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77"/>
      <c r="N428" s="77"/>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77"/>
      <c r="N429" s="77"/>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77"/>
      <c r="N430" s="77"/>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77"/>
      <c r="N431" s="77"/>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77"/>
      <c r="N432" s="77"/>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77"/>
      <c r="N433" s="77"/>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77"/>
      <c r="N434" s="77"/>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77"/>
      <c r="N435" s="77"/>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77"/>
      <c r="N436" s="77"/>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77"/>
      <c r="N437" s="77"/>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77"/>
      <c r="N438" s="77"/>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77"/>
      <c r="N439" s="77"/>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77"/>
      <c r="N440" s="77"/>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77"/>
      <c r="N441" s="77"/>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77"/>
      <c r="N442" s="77"/>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77"/>
      <c r="N443" s="77"/>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77"/>
      <c r="N444" s="77"/>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77"/>
      <c r="N445" s="77"/>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77"/>
      <c r="N446" s="77"/>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77"/>
      <c r="N447" s="77"/>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77"/>
      <c r="N448" s="77"/>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77"/>
      <c r="N449" s="77"/>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77"/>
      <c r="N450" s="77"/>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77"/>
      <c r="N451" s="77"/>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77"/>
      <c r="N452" s="77"/>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77"/>
      <c r="N453" s="77"/>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77"/>
      <c r="N454" s="77"/>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77"/>
      <c r="N455" s="77"/>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77"/>
      <c r="N456" s="77"/>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77"/>
      <c r="N457" s="77"/>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77"/>
      <c r="N458" s="77"/>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77"/>
      <c r="N459" s="77"/>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77"/>
      <c r="N460" s="77"/>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77"/>
      <c r="N461" s="77"/>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77"/>
      <c r="N462" s="77"/>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77"/>
      <c r="N463" s="77"/>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77"/>
      <c r="N464" s="77"/>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77"/>
      <c r="N465" s="77"/>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77"/>
      <c r="N466" s="77"/>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77"/>
      <c r="N467" s="77"/>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77"/>
      <c r="N468" s="77"/>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77"/>
      <c r="N469" s="77"/>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77"/>
      <c r="N470" s="77"/>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77"/>
      <c r="N471" s="77"/>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77"/>
      <c r="N472" s="77"/>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77"/>
      <c r="N473" s="77"/>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77"/>
      <c r="N474" s="77"/>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77"/>
      <c r="N475" s="77"/>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77"/>
      <c r="N476" s="77"/>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77"/>
      <c r="N477" s="77"/>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77"/>
      <c r="N478" s="77"/>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77"/>
      <c r="N479" s="77"/>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77"/>
      <c r="N480" s="77"/>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77"/>
      <c r="N481" s="77"/>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77"/>
      <c r="N482" s="77"/>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77"/>
      <c r="N483" s="77"/>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77"/>
      <c r="N484" s="77"/>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77"/>
      <c r="N485" s="77"/>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77"/>
      <c r="N486" s="77"/>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77"/>
      <c r="N487" s="77"/>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77"/>
      <c r="N488" s="77"/>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77"/>
      <c r="N489" s="77"/>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77"/>
      <c r="N490" s="77"/>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77"/>
      <c r="N491" s="77"/>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77"/>
      <c r="N492" s="77"/>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77"/>
      <c r="N493" s="77"/>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77"/>
      <c r="N494" s="77"/>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77"/>
      <c r="N495" s="77"/>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77"/>
      <c r="N496" s="77"/>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77"/>
      <c r="N497" s="77"/>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77"/>
      <c r="N498" s="77"/>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77"/>
      <c r="N499" s="77"/>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77"/>
      <c r="N500" s="77"/>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77"/>
      <c r="N501" s="77"/>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77"/>
      <c r="N502" s="77"/>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77"/>
      <c r="N503" s="77"/>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77"/>
      <c r="N504" s="77"/>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77"/>
      <c r="N505" s="77"/>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77"/>
      <c r="N506" s="77"/>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77"/>
      <c r="N507" s="77"/>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77"/>
      <c r="N508" s="77"/>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77"/>
      <c r="N509" s="77"/>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77"/>
      <c r="N510" s="77"/>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77"/>
      <c r="N511" s="77"/>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77"/>
      <c r="N512" s="77"/>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77"/>
      <c r="N513" s="77"/>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77"/>
      <c r="N514" s="77"/>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77"/>
      <c r="N515" s="77"/>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77"/>
      <c r="N516" s="77"/>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77"/>
      <c r="N517" s="77"/>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77"/>
      <c r="N518" s="77"/>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77"/>
      <c r="N519" s="77"/>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77"/>
      <c r="N520" s="77"/>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77"/>
      <c r="N521" s="77"/>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77"/>
      <c r="N522" s="77"/>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77"/>
      <c r="N523" s="77"/>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77"/>
      <c r="N524" s="77"/>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77"/>
      <c r="N525" s="77"/>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77"/>
      <c r="N526" s="77"/>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77"/>
      <c r="N527" s="77"/>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77"/>
      <c r="N528" s="77"/>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77"/>
      <c r="N529" s="77"/>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77"/>
      <c r="N530" s="77"/>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77"/>
      <c r="N531" s="77"/>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77"/>
      <c r="N532" s="77"/>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77"/>
      <c r="N533" s="77"/>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77"/>
      <c r="N534" s="77"/>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77"/>
      <c r="N535" s="77"/>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77"/>
      <c r="N536" s="77"/>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77"/>
      <c r="N537" s="77"/>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77"/>
      <c r="N538" s="77"/>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77"/>
      <c r="N539" s="77"/>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77"/>
      <c r="N540" s="77"/>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77"/>
      <c r="N541" s="77"/>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77"/>
      <c r="N542" s="77"/>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77"/>
      <c r="N543" s="77"/>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77"/>
      <c r="N544" s="77"/>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77"/>
      <c r="N545" s="77"/>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77"/>
      <c r="N546" s="77"/>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77"/>
      <c r="N547" s="77"/>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77"/>
      <c r="N548" s="77"/>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77"/>
      <c r="N549" s="77"/>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77"/>
      <c r="N550" s="77"/>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77"/>
      <c r="N551" s="77"/>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77"/>
      <c r="N552" s="77"/>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77"/>
      <c r="N553" s="77"/>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77"/>
      <c r="N554" s="77"/>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77"/>
      <c r="N555" s="77"/>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77"/>
      <c r="N556" s="77"/>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77"/>
      <c r="N557" s="77"/>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77"/>
      <c r="N558" s="77"/>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77"/>
      <c r="N559" s="77"/>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77"/>
      <c r="N560" s="77"/>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77"/>
      <c r="N561" s="77"/>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77"/>
      <c r="N562" s="77"/>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77"/>
      <c r="N563" s="77"/>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77"/>
      <c r="N564" s="77"/>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77"/>
      <c r="N565" s="77"/>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77"/>
      <c r="N566" s="77"/>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77"/>
      <c r="N567" s="77"/>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77"/>
      <c r="N568" s="77"/>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77"/>
      <c r="N569" s="77"/>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77"/>
      <c r="N570" s="77"/>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77"/>
      <c r="N571" s="77"/>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77"/>
      <c r="N572" s="77"/>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77"/>
      <c r="N573" s="77"/>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77"/>
      <c r="N574" s="77"/>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77"/>
      <c r="N575" s="77"/>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77"/>
      <c r="N576" s="77"/>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77"/>
      <c r="N577" s="77"/>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77"/>
      <c r="N578" s="77"/>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77"/>
      <c r="N579" s="77"/>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77"/>
      <c r="N580" s="77"/>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77"/>
      <c r="N581" s="77"/>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77"/>
      <c r="N582" s="77"/>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77"/>
      <c r="N583" s="77"/>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77"/>
      <c r="N584" s="77"/>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77"/>
      <c r="N585" s="77"/>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77"/>
      <c r="N586" s="77"/>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77"/>
      <c r="N587" s="77"/>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77"/>
      <c r="N588" s="77"/>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77"/>
      <c r="N589" s="77"/>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77"/>
      <c r="N590" s="77"/>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77"/>
      <c r="N591" s="77"/>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77"/>
      <c r="N592" s="77"/>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77"/>
      <c r="N593" s="77"/>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77"/>
      <c r="N594" s="77"/>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77"/>
      <c r="N595" s="77"/>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77"/>
      <c r="N596" s="77"/>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77"/>
      <c r="N597" s="77"/>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77"/>
      <c r="N598" s="77"/>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77"/>
      <c r="N599" s="77"/>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77"/>
      <c r="N600" s="77"/>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77"/>
      <c r="N601" s="77"/>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77"/>
      <c r="N602" s="77"/>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77"/>
      <c r="N603" s="77"/>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77"/>
      <c r="N604" s="77"/>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77"/>
      <c r="N605" s="77"/>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77"/>
      <c r="N606" s="77"/>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77"/>
      <c r="N607" s="77"/>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77"/>
      <c r="N608" s="77"/>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77"/>
      <c r="N609" s="77"/>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77"/>
      <c r="N610" s="77"/>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77"/>
      <c r="N611" s="77"/>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77"/>
      <c r="N612" s="77"/>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77"/>
      <c r="N613" s="77"/>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77"/>
      <c r="N614" s="77"/>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77"/>
      <c r="N615" s="77"/>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77"/>
      <c r="N616" s="77"/>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77"/>
      <c r="N617" s="77"/>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77"/>
      <c r="N618" s="77"/>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77"/>
      <c r="N619" s="77"/>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77"/>
      <c r="N620" s="77"/>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77"/>
      <c r="N621" s="77"/>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77"/>
      <c r="N622" s="77"/>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77"/>
      <c r="N623" s="77"/>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77"/>
      <c r="N624" s="77"/>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77"/>
      <c r="N625" s="77"/>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77"/>
      <c r="N626" s="77"/>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77"/>
      <c r="N627" s="77"/>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77"/>
      <c r="N628" s="77"/>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77"/>
      <c r="N629" s="77"/>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77"/>
      <c r="N630" s="77"/>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77"/>
      <c r="N631" s="77"/>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77"/>
      <c r="N632" s="77"/>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77"/>
      <c r="N633" s="77"/>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77"/>
      <c r="N634" s="77"/>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77"/>
      <c r="N635" s="77"/>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77"/>
      <c r="N636" s="77"/>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77"/>
      <c r="N637" s="77"/>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77"/>
      <c r="N638" s="77"/>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77"/>
      <c r="N639" s="77"/>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77"/>
      <c r="N640" s="77"/>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77"/>
      <c r="N641" s="77"/>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77"/>
      <c r="N642" s="77"/>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77"/>
      <c r="N643" s="77"/>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77"/>
      <c r="N644" s="77"/>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77"/>
      <c r="N645" s="77"/>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77"/>
      <c r="N646" s="77"/>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77"/>
      <c r="N647" s="77"/>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77"/>
      <c r="N648" s="77"/>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77"/>
      <c r="N649" s="77"/>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77"/>
      <c r="N650" s="77"/>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77"/>
      <c r="N651" s="77"/>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77"/>
      <c r="N652" s="77"/>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77"/>
      <c r="N653" s="77"/>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77"/>
      <c r="N654" s="77"/>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77"/>
      <c r="N655" s="77"/>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77"/>
      <c r="N656" s="77"/>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77"/>
      <c r="N657" s="77"/>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77"/>
      <c r="N658" s="77"/>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77"/>
      <c r="N659" s="77"/>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77"/>
      <c r="N660" s="77"/>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77"/>
      <c r="N661" s="77"/>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77"/>
      <c r="N662" s="77"/>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77"/>
      <c r="N663" s="77"/>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77"/>
      <c r="N664" s="77"/>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77"/>
      <c r="N665" s="77"/>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77"/>
      <c r="N666" s="77"/>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77"/>
      <c r="N667" s="77"/>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77"/>
      <c r="N668" s="77"/>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77"/>
      <c r="N669" s="77"/>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77"/>
      <c r="N670" s="77"/>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77"/>
      <c r="N671" s="77"/>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77"/>
      <c r="N672" s="77"/>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77"/>
      <c r="N673" s="77"/>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77"/>
      <c r="N674" s="77"/>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77"/>
      <c r="N675" s="77"/>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77"/>
      <c r="N676" s="77"/>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77"/>
      <c r="N677" s="77"/>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77"/>
      <c r="N678" s="77"/>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77"/>
      <c r="N679" s="77"/>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77"/>
      <c r="N680" s="77"/>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77"/>
      <c r="N681" s="77"/>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77"/>
      <c r="N682" s="77"/>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77"/>
      <c r="N683" s="77"/>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77"/>
      <c r="N684" s="77"/>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77"/>
      <c r="N685" s="77"/>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77"/>
      <c r="N686" s="77"/>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77"/>
      <c r="N687" s="77"/>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77"/>
      <c r="N688" s="77"/>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77"/>
      <c r="N689" s="77"/>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77"/>
      <c r="N690" s="77"/>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77"/>
      <c r="N691" s="77"/>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77"/>
      <c r="N692" s="77"/>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77"/>
      <c r="N693" s="77"/>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77"/>
      <c r="N694" s="77"/>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77"/>
      <c r="N695" s="77"/>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77"/>
      <c r="N696" s="77"/>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77"/>
      <c r="N697" s="77"/>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77"/>
      <c r="N698" s="77"/>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77"/>
      <c r="N699" s="77"/>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77"/>
      <c r="N700" s="77"/>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77"/>
      <c r="N701" s="77"/>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77"/>
      <c r="N702" s="77"/>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77"/>
      <c r="N703" s="77"/>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77"/>
      <c r="N704" s="77"/>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77"/>
      <c r="N705" s="77"/>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77"/>
      <c r="N706" s="77"/>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77"/>
      <c r="N707" s="77"/>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77"/>
      <c r="N708" s="77"/>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77"/>
      <c r="N709" s="77"/>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77"/>
      <c r="N710" s="77"/>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77"/>
      <c r="N711" s="77"/>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77"/>
      <c r="N712" s="77"/>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77"/>
      <c r="N713" s="77"/>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77"/>
      <c r="N714" s="77"/>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77"/>
      <c r="N715" s="77"/>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77"/>
      <c r="N716" s="77"/>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77"/>
      <c r="N717" s="77"/>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77"/>
      <c r="N718" s="77"/>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77"/>
      <c r="N719" s="77"/>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77"/>
      <c r="N720" s="77"/>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77"/>
      <c r="N721" s="77"/>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77"/>
      <c r="N722" s="77"/>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77"/>
      <c r="N723" s="77"/>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77"/>
      <c r="N724" s="77"/>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77"/>
      <c r="N725" s="77"/>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77"/>
      <c r="N726" s="77"/>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77"/>
      <c r="N727" s="77"/>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77"/>
      <c r="N728" s="77"/>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77"/>
      <c r="N729" s="77"/>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77"/>
      <c r="N730" s="77"/>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77"/>
      <c r="N731" s="77"/>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77"/>
      <c r="N732" s="77"/>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77"/>
      <c r="N733" s="77"/>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77"/>
      <c r="N734" s="77"/>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77"/>
      <c r="N735" s="77"/>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77"/>
      <c r="N736" s="77"/>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77"/>
      <c r="N737" s="77"/>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77"/>
      <c r="N738" s="77"/>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77"/>
      <c r="N739" s="77"/>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77"/>
      <c r="N740" s="77"/>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77"/>
      <c r="N741" s="77"/>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77"/>
      <c r="N742" s="77"/>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77"/>
      <c r="N743" s="77"/>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77"/>
      <c r="N744" s="77"/>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77"/>
      <c r="N745" s="77"/>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77"/>
      <c r="N746" s="77"/>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77"/>
      <c r="N747" s="77"/>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77"/>
      <c r="N748" s="77"/>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77"/>
      <c r="N749" s="77"/>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77"/>
      <c r="N750" s="77"/>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77"/>
      <c r="N751" s="77"/>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77"/>
      <c r="N752" s="77"/>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77"/>
      <c r="N753" s="77"/>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77"/>
      <c r="N754" s="77"/>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77"/>
      <c r="N755" s="77"/>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77"/>
      <c r="N756" s="77"/>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77"/>
      <c r="N757" s="77"/>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77"/>
      <c r="N758" s="77"/>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77"/>
      <c r="N759" s="77"/>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77"/>
      <c r="N760" s="77"/>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77"/>
      <c r="N761" s="77"/>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77"/>
      <c r="N762" s="77"/>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77"/>
      <c r="N763" s="77"/>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77"/>
      <c r="N764" s="77"/>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77"/>
      <c r="N765" s="77"/>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77"/>
      <c r="N766" s="77"/>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77"/>
      <c r="N767" s="77"/>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77"/>
      <c r="N768" s="77"/>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77"/>
      <c r="N769" s="77"/>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77"/>
      <c r="N770" s="77"/>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77"/>
      <c r="N771" s="77"/>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77"/>
      <c r="N772" s="77"/>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77"/>
      <c r="N773" s="77"/>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77"/>
      <c r="N774" s="77"/>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77"/>
      <c r="N775" s="77"/>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77"/>
      <c r="N776" s="77"/>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77"/>
      <c r="N777" s="77"/>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77"/>
      <c r="N778" s="77"/>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77"/>
      <c r="N779" s="77"/>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77"/>
      <c r="N780" s="77"/>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77"/>
      <c r="N781" s="77"/>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77"/>
      <c r="N782" s="77"/>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77"/>
      <c r="N783" s="77"/>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77"/>
      <c r="N784" s="77"/>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77"/>
      <c r="N785" s="77"/>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77"/>
      <c r="N786" s="77"/>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77"/>
      <c r="N787" s="77"/>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77"/>
      <c r="N788" s="77"/>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77"/>
      <c r="N789" s="77"/>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77"/>
      <c r="N790" s="77"/>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77"/>
      <c r="N791" s="77"/>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77"/>
      <c r="N792" s="77"/>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77"/>
      <c r="N793" s="77"/>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77"/>
      <c r="N794" s="77"/>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77"/>
      <c r="N795" s="77"/>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77"/>
      <c r="N796" s="77"/>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77"/>
      <c r="N797" s="77"/>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77"/>
      <c r="N798" s="77"/>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77"/>
      <c r="N799" s="77"/>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77"/>
      <c r="N800" s="77"/>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77"/>
      <c r="N801" s="77"/>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77"/>
      <c r="N802" s="77"/>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77"/>
      <c r="N803" s="77"/>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77"/>
      <c r="N804" s="77"/>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77"/>
      <c r="N805" s="77"/>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77"/>
      <c r="N806" s="77"/>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77"/>
      <c r="N807" s="77"/>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77"/>
      <c r="N808" s="77"/>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77"/>
      <c r="N809" s="77"/>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77"/>
      <c r="N810" s="77"/>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77"/>
      <c r="N811" s="77"/>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77"/>
      <c r="N812" s="77"/>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77"/>
      <c r="N813" s="77"/>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77"/>
      <c r="N814" s="77"/>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77"/>
      <c r="N815" s="77"/>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77"/>
      <c r="N816" s="77"/>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77"/>
      <c r="N817" s="77"/>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77"/>
      <c r="N818" s="77"/>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77"/>
      <c r="N819" s="77"/>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77"/>
      <c r="N820" s="77"/>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77"/>
      <c r="N821" s="77"/>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77"/>
      <c r="N822" s="77"/>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77"/>
      <c r="N823" s="77"/>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77"/>
      <c r="N824" s="77"/>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77"/>
      <c r="N825" s="77"/>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77"/>
      <c r="N826" s="77"/>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77"/>
      <c r="N827" s="77"/>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77"/>
      <c r="N828" s="77"/>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77"/>
      <c r="N829" s="77"/>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77"/>
      <c r="N830" s="77"/>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77"/>
      <c r="N831" s="77"/>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77"/>
      <c r="N832" s="77"/>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77"/>
      <c r="N833" s="77"/>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77"/>
      <c r="N834" s="77"/>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77"/>
      <c r="N835" s="77"/>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77"/>
      <c r="N836" s="77"/>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77"/>
      <c r="N837" s="77"/>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77"/>
      <c r="N838" s="77"/>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77"/>
      <c r="N839" s="77"/>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77"/>
      <c r="N840" s="77"/>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77"/>
      <c r="N841" s="77"/>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77"/>
      <c r="N842" s="77"/>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77"/>
      <c r="N843" s="77"/>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77"/>
      <c r="N844" s="77"/>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77"/>
      <c r="N845" s="77"/>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77"/>
      <c r="N846" s="77"/>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77"/>
      <c r="N847" s="77"/>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77"/>
      <c r="N848" s="77"/>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77"/>
      <c r="N849" s="77"/>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77"/>
      <c r="N850" s="77"/>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77"/>
      <c r="N851" s="77"/>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77"/>
      <c r="N852" s="77"/>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77"/>
      <c r="N853" s="77"/>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77"/>
      <c r="N854" s="77"/>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77"/>
      <c r="N855" s="77"/>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77"/>
      <c r="N856" s="77"/>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77"/>
      <c r="N857" s="77"/>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77"/>
      <c r="N858" s="77"/>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77"/>
      <c r="N859" s="77"/>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77"/>
      <c r="N860" s="77"/>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77"/>
      <c r="N861" s="77"/>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77"/>
      <c r="N862" s="77"/>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77"/>
      <c r="N863" s="77"/>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77"/>
      <c r="N864" s="77"/>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77"/>
      <c r="N865" s="77"/>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77"/>
      <c r="N866" s="77"/>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77"/>
      <c r="N867" s="77"/>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77"/>
      <c r="N868" s="77"/>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77"/>
      <c r="N869" s="77"/>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77"/>
      <c r="N870" s="77"/>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77"/>
      <c r="N871" s="77"/>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77"/>
      <c r="N872" s="77"/>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77"/>
      <c r="N873" s="77"/>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77"/>
      <c r="N874" s="77"/>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77"/>
      <c r="N875" s="77"/>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77"/>
      <c r="N876" s="77"/>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77"/>
      <c r="N877" s="77"/>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77"/>
      <c r="N878" s="77"/>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77"/>
      <c r="N879" s="77"/>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77"/>
      <c r="N880" s="77"/>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77"/>
      <c r="N881" s="77"/>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77"/>
      <c r="N882" s="77"/>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77"/>
      <c r="N883" s="77"/>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77"/>
      <c r="N884" s="77"/>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77"/>
      <c r="N885" s="77"/>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77"/>
      <c r="N886" s="77"/>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77"/>
      <c r="N887" s="77"/>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77"/>
      <c r="N888" s="77"/>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77"/>
      <c r="N889" s="77"/>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77"/>
      <c r="N890" s="77"/>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77"/>
      <c r="N891" s="77"/>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77"/>
      <c r="N892" s="77"/>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77"/>
      <c r="N893" s="77"/>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77"/>
      <c r="N894" s="77"/>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77"/>
      <c r="N895" s="77"/>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77"/>
      <c r="N896" s="77"/>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77"/>
      <c r="N897" s="77"/>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77"/>
      <c r="N898" s="77"/>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77"/>
      <c r="N899" s="77"/>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77"/>
      <c r="N900" s="77"/>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77"/>
      <c r="N901" s="77"/>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77"/>
      <c r="N902" s="77"/>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77"/>
      <c r="N903" s="77"/>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77"/>
      <c r="N904" s="77"/>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77"/>
      <c r="N905" s="77"/>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77"/>
      <c r="N906" s="77"/>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77"/>
      <c r="N907" s="77"/>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77"/>
      <c r="N908" s="77"/>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77"/>
      <c r="N909" s="77"/>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77"/>
      <c r="N910" s="77"/>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77"/>
      <c r="N911" s="77"/>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77"/>
      <c r="N912" s="77"/>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77"/>
      <c r="N913" s="77"/>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77"/>
      <c r="N914" s="77"/>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77"/>
      <c r="N915" s="77"/>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77"/>
      <c r="N916" s="77"/>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77"/>
      <c r="N917" s="77"/>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77"/>
      <c r="N918" s="77"/>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77"/>
      <c r="N919" s="77"/>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77"/>
      <c r="N920" s="77"/>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77"/>
      <c r="N921" s="77"/>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77"/>
      <c r="N922" s="77"/>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77"/>
      <c r="N923" s="77"/>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77"/>
      <c r="N924" s="77"/>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77"/>
      <c r="N925" s="77"/>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77"/>
      <c r="N926" s="77"/>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77"/>
      <c r="N927" s="77"/>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77"/>
      <c r="N928" s="77"/>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77"/>
      <c r="N929" s="77"/>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77"/>
      <c r="N930" s="77"/>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77"/>
      <c r="N931" s="77"/>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77"/>
      <c r="N932" s="77"/>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77"/>
      <c r="N933" s="77"/>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77"/>
      <c r="N934" s="77"/>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77"/>
      <c r="N935" s="77"/>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77"/>
      <c r="N936" s="77"/>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77"/>
      <c r="N937" s="77"/>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77"/>
      <c r="N938" s="77"/>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77"/>
      <c r="N939" s="77"/>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77"/>
      <c r="N940" s="77"/>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77"/>
      <c r="N941" s="77"/>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77"/>
      <c r="N942" s="77"/>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77"/>
      <c r="N943" s="77"/>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77"/>
      <c r="N944" s="77"/>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77"/>
      <c r="N945" s="77"/>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77"/>
      <c r="N946" s="77"/>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77"/>
      <c r="N947" s="77"/>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77"/>
      <c r="N948" s="77"/>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77"/>
      <c r="N949" s="77"/>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77"/>
      <c r="N950" s="77"/>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77"/>
      <c r="N951" s="77"/>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77"/>
      <c r="N952" s="77"/>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77"/>
      <c r="N953" s="77"/>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77"/>
      <c r="N954" s="77"/>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77"/>
      <c r="N955" s="77"/>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77"/>
      <c r="N956" s="77"/>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77"/>
      <c r="N957" s="77"/>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77"/>
      <c r="N958" s="77"/>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77"/>
      <c r="N959" s="77"/>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77"/>
      <c r="N960" s="77"/>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77"/>
      <c r="N961" s="77"/>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77"/>
      <c r="N962" s="77"/>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77"/>
      <c r="N963" s="77"/>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77"/>
      <c r="N964" s="77"/>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77"/>
      <c r="N965" s="77"/>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77"/>
      <c r="N966" s="77"/>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77"/>
      <c r="N967" s="77"/>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77"/>
      <c r="N968" s="77"/>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77"/>
      <c r="N969" s="77"/>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77"/>
      <c r="N970" s="77"/>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77"/>
      <c r="N971" s="77"/>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77"/>
      <c r="N972" s="77"/>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77"/>
      <c r="N973" s="77"/>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77"/>
      <c r="N974" s="77"/>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77"/>
      <c r="N975" s="77"/>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77"/>
      <c r="N976" s="77"/>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77"/>
      <c r="N977" s="77"/>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77"/>
      <c r="N978" s="77"/>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77"/>
      <c r="N979" s="77"/>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77"/>
      <c r="N980" s="77"/>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77"/>
      <c r="N981" s="77"/>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77"/>
      <c r="N982" s="77"/>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77"/>
      <c r="N983" s="77"/>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77"/>
      <c r="N984" s="77"/>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77"/>
      <c r="N985" s="77"/>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77"/>
      <c r="N986" s="77"/>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77"/>
      <c r="N987" s="77"/>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77"/>
      <c r="N988" s="77"/>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77"/>
      <c r="N989" s="77"/>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77"/>
      <c r="N990" s="77"/>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77"/>
      <c r="N991" s="77"/>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77"/>
      <c r="N992" s="77"/>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77"/>
      <c r="N993" s="77"/>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77"/>
      <c r="N994" s="77"/>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77"/>
      <c r="N995" s="77"/>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77"/>
      <c r="N996" s="77"/>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77"/>
      <c r="N997" s="77"/>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77"/>
      <c r="N998" s="77"/>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77"/>
      <c r="N999" s="77"/>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77"/>
      <c r="N1000" s="77"/>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77"/>
      <c r="N1001" s="77"/>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77"/>
      <c r="N1002" s="77"/>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5" t="s">
        <v>0</v>
      </c>
      <c r="B2" s="157" t="s">
        <v>1</v>
      </c>
      <c r="C2" s="158"/>
      <c r="D2" s="159"/>
      <c r="E2" s="157" t="s">
        <v>235</v>
      </c>
      <c r="F2" s="158"/>
      <c r="G2" s="159"/>
      <c r="H2" s="160" t="s">
        <v>236</v>
      </c>
      <c r="I2" s="158"/>
      <c r="J2" s="159"/>
      <c r="K2" s="161" t="s">
        <v>4</v>
      </c>
      <c r="L2" s="162" t="s">
        <v>48</v>
      </c>
      <c r="M2" s="2"/>
      <c r="N2" s="2"/>
      <c r="O2" s="2"/>
      <c r="P2" s="2"/>
      <c r="Q2" s="2"/>
      <c r="R2" s="2"/>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237</v>
      </c>
      <c r="M4" s="83" t="s">
        <v>238</v>
      </c>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2000000000+282312603.74+2325834136.37+8387.5+1106000000</f>
        <v>5714155127.6099997</v>
      </c>
      <c r="J5" s="26">
        <f t="shared" si="2"/>
        <v>5714155127.6099997</v>
      </c>
      <c r="K5" s="75" t="s">
        <v>229</v>
      </c>
      <c r="L5" s="20" t="s">
        <v>237</v>
      </c>
      <c r="M5" s="83" t="s">
        <v>238</v>
      </c>
      <c r="N5" s="18"/>
      <c r="O5" s="18"/>
      <c r="P5" s="4"/>
      <c r="Q5" s="4"/>
      <c r="R5" s="4"/>
      <c r="S5" s="4"/>
      <c r="T5" s="4"/>
      <c r="U5" s="4"/>
      <c r="V5" s="4"/>
      <c r="W5" s="4"/>
      <c r="X5" s="4"/>
      <c r="Y5" s="4"/>
      <c r="Z5" s="4"/>
      <c r="AA5" s="4"/>
      <c r="AB5" s="4"/>
      <c r="AC5" s="4"/>
    </row>
    <row r="6" spans="1:29" ht="57">
      <c r="A6" s="22" t="s">
        <v>12</v>
      </c>
      <c r="B6" s="29">
        <v>2375000000</v>
      </c>
      <c r="C6" s="30">
        <v>125000000</v>
      </c>
      <c r="D6" s="30">
        <f t="shared" si="0"/>
        <v>2500000000</v>
      </c>
      <c r="E6" s="74">
        <v>702718876.22000003</v>
      </c>
      <c r="F6" s="74" t="s">
        <v>196</v>
      </c>
      <c r="G6" s="74">
        <v>2500000000</v>
      </c>
      <c r="H6" s="74">
        <v>1249758696.1199999</v>
      </c>
      <c r="I6" s="74" t="s">
        <v>239</v>
      </c>
      <c r="J6" s="74">
        <f>3134177253.88</f>
        <v>3134177253.8800001</v>
      </c>
      <c r="K6" s="74" t="s">
        <v>198</v>
      </c>
      <c r="L6" s="20" t="s">
        <v>240</v>
      </c>
      <c r="M6" s="83" t="s">
        <v>241</v>
      </c>
      <c r="N6" s="18"/>
      <c r="O6" s="18"/>
      <c r="P6" s="5"/>
      <c r="Q6" s="5"/>
      <c r="R6" s="5"/>
      <c r="S6" s="5"/>
      <c r="T6" s="5"/>
      <c r="U6" s="5"/>
      <c r="V6" s="5"/>
      <c r="W6" s="5"/>
      <c r="X6" s="5"/>
      <c r="Y6" s="5"/>
      <c r="Z6" s="5"/>
      <c r="AA6" s="5"/>
      <c r="AB6" s="5"/>
      <c r="AC6" s="5"/>
    </row>
    <row r="7" spans="1:29" ht="128.25">
      <c r="A7" s="28" t="s">
        <v>16</v>
      </c>
      <c r="B7" s="29">
        <v>1500000000</v>
      </c>
      <c r="C7" s="23">
        <v>0</v>
      </c>
      <c r="D7" s="24">
        <f t="shared" si="0"/>
        <v>1500000000</v>
      </c>
      <c r="E7" s="74">
        <v>766739875.00999999</v>
      </c>
      <c r="F7" s="74" t="s">
        <v>200</v>
      </c>
      <c r="G7" s="24">
        <v>1500000000</v>
      </c>
      <c r="H7" s="23">
        <v>1106145716.4300001</v>
      </c>
      <c r="I7" s="74" t="s">
        <v>242</v>
      </c>
      <c r="J7" s="24">
        <f>H7+774360635.86</f>
        <v>1880506352.29</v>
      </c>
      <c r="K7" s="38" t="s">
        <v>202</v>
      </c>
      <c r="L7" s="20" t="s">
        <v>240</v>
      </c>
      <c r="M7" s="83" t="s">
        <v>241</v>
      </c>
      <c r="N7" s="37" t="s">
        <v>176</v>
      </c>
      <c r="O7" s="18"/>
      <c r="P7" s="5"/>
      <c r="Q7" s="5"/>
      <c r="R7" s="5"/>
      <c r="S7" s="5"/>
      <c r="T7" s="5"/>
      <c r="U7" s="5"/>
      <c r="V7" s="5"/>
      <c r="W7" s="5"/>
      <c r="X7" s="5"/>
      <c r="Y7" s="5"/>
      <c r="Z7" s="5"/>
      <c r="AA7" s="5"/>
      <c r="AB7" s="5"/>
      <c r="AC7" s="5"/>
    </row>
    <row r="8" spans="1:29"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t="s">
        <v>237</v>
      </c>
      <c r="M8" s="83" t="s">
        <v>238</v>
      </c>
      <c r="N8" s="18"/>
      <c r="O8" s="18"/>
      <c r="P8" s="4"/>
      <c r="Q8" s="4"/>
      <c r="R8" s="4"/>
      <c r="S8" s="4"/>
      <c r="T8" s="4"/>
      <c r="U8" s="4"/>
      <c r="V8" s="4"/>
      <c r="W8" s="4"/>
      <c r="X8" s="4"/>
      <c r="Y8" s="4"/>
      <c r="Z8" s="4"/>
      <c r="AA8" s="4"/>
      <c r="AB8" s="4"/>
      <c r="AC8" s="4"/>
    </row>
    <row r="9" spans="1:29"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232</v>
      </c>
      <c r="L9" s="20" t="s">
        <v>243</v>
      </c>
      <c r="M9" s="83" t="s">
        <v>238</v>
      </c>
      <c r="N9" s="18"/>
      <c r="O9" s="18"/>
      <c r="P9" s="4"/>
      <c r="Q9" s="4"/>
      <c r="R9" s="4"/>
      <c r="S9" s="4"/>
      <c r="T9" s="4"/>
      <c r="U9" s="4"/>
      <c r="V9" s="4"/>
      <c r="W9" s="4"/>
      <c r="X9" s="4"/>
      <c r="Y9" s="4"/>
      <c r="Z9" s="4"/>
      <c r="AA9" s="4"/>
      <c r="AB9" s="4"/>
      <c r="AC9" s="4"/>
    </row>
    <row r="10" spans="1:29" ht="71.25">
      <c r="A10" s="22" t="s">
        <v>24</v>
      </c>
      <c r="B10" s="23">
        <v>0</v>
      </c>
      <c r="C10" s="23">
        <v>2050000000</v>
      </c>
      <c r="D10" s="24">
        <f t="shared" si="0"/>
        <v>2050000000</v>
      </c>
      <c r="E10" s="23">
        <v>0</v>
      </c>
      <c r="F10" s="23">
        <v>2050000000</v>
      </c>
      <c r="G10" s="24">
        <f t="shared" si="3"/>
        <v>2050000000</v>
      </c>
      <c r="H10" s="23">
        <v>0</v>
      </c>
      <c r="I10" s="23">
        <v>2986121099.8299999</v>
      </c>
      <c r="J10" s="24">
        <f t="shared" si="4"/>
        <v>2986121099.8299999</v>
      </c>
      <c r="K10" s="38" t="s">
        <v>149</v>
      </c>
      <c r="L10" s="20" t="s">
        <v>244</v>
      </c>
      <c r="M10" s="83" t="s">
        <v>245</v>
      </c>
      <c r="N10" s="18"/>
      <c r="O10" s="18"/>
      <c r="P10" s="4"/>
      <c r="Q10" s="4"/>
      <c r="R10" s="4"/>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3663719904.58+(5*518269874.82)</f>
        <v>6255069278.6800003</v>
      </c>
      <c r="J11" s="24">
        <f t="shared" si="4"/>
        <v>6255069278.6800003</v>
      </c>
      <c r="K11" s="38" t="s">
        <v>151</v>
      </c>
      <c r="L11" s="20" t="s">
        <v>244</v>
      </c>
      <c r="M11" s="83" t="s">
        <v>245</v>
      </c>
      <c r="N11" s="18"/>
      <c r="O11" s="18"/>
      <c r="P11" s="4"/>
      <c r="Q11" s="4"/>
      <c r="R11" s="4"/>
      <c r="S11" s="4"/>
      <c r="T11" s="4"/>
      <c r="U11" s="4"/>
      <c r="V11" s="4"/>
      <c r="W11" s="4"/>
      <c r="X11" s="4"/>
      <c r="Y11" s="4"/>
      <c r="Z11" s="4"/>
      <c r="AA11" s="4"/>
      <c r="AB11" s="4"/>
      <c r="AC11" s="4"/>
    </row>
    <row r="12" spans="1:29" ht="71.25">
      <c r="A12" s="22" t="s">
        <v>28</v>
      </c>
      <c r="B12" s="23">
        <v>0</v>
      </c>
      <c r="C12" s="23">
        <v>3650000000</v>
      </c>
      <c r="D12" s="24">
        <f t="shared" si="0"/>
        <v>3650000000</v>
      </c>
      <c r="E12" s="23">
        <v>0</v>
      </c>
      <c r="F12" s="23">
        <v>3650000000</v>
      </c>
      <c r="G12" s="24">
        <f t="shared" si="3"/>
        <v>3650000000</v>
      </c>
      <c r="H12" s="23">
        <v>0</v>
      </c>
      <c r="I12" s="23">
        <v>4553381205.96</v>
      </c>
      <c r="J12" s="24">
        <f t="shared" si="4"/>
        <v>4553381205.96</v>
      </c>
      <c r="K12" s="38" t="s">
        <v>152</v>
      </c>
      <c r="L12" s="20" t="s">
        <v>244</v>
      </c>
      <c r="M12" s="83" t="s">
        <v>245</v>
      </c>
      <c r="N12" s="18"/>
      <c r="O12" s="18"/>
      <c r="P12" s="4"/>
      <c r="Q12" s="4"/>
      <c r="R12" s="4"/>
      <c r="S12" s="4"/>
      <c r="T12" s="4"/>
      <c r="U12" s="4"/>
      <c r="V12" s="4"/>
      <c r="W12" s="4"/>
      <c r="X12" s="4"/>
      <c r="Y12" s="4"/>
      <c r="Z12" s="4"/>
      <c r="AA12" s="4"/>
      <c r="AB12" s="4"/>
      <c r="AC12" s="4"/>
    </row>
    <row r="13" spans="1:29" ht="42.75">
      <c r="A13" s="22" t="s">
        <v>29</v>
      </c>
      <c r="B13" s="24">
        <v>135000000</v>
      </c>
      <c r="C13" s="23">
        <v>0</v>
      </c>
      <c r="D13" s="24">
        <f t="shared" si="0"/>
        <v>135000000</v>
      </c>
      <c r="E13" s="23">
        <v>135000000</v>
      </c>
      <c r="F13" s="23">
        <v>0</v>
      </c>
      <c r="G13" s="24">
        <f t="shared" si="3"/>
        <v>135000000</v>
      </c>
      <c r="H13" s="23">
        <v>169245571.70674801</v>
      </c>
      <c r="I13" s="23">
        <v>0</v>
      </c>
      <c r="J13" s="24">
        <f t="shared" si="4"/>
        <v>169245571.70674801</v>
      </c>
      <c r="K13" s="38" t="s">
        <v>233</v>
      </c>
      <c r="L13" s="20" t="s">
        <v>115</v>
      </c>
      <c r="M13" s="83" t="s">
        <v>238</v>
      </c>
      <c r="N13" s="18"/>
      <c r="O13" s="18"/>
      <c r="P13" s="4"/>
      <c r="Q13" s="4"/>
      <c r="R13" s="4"/>
      <c r="S13" s="4"/>
      <c r="T13" s="4"/>
      <c r="U13" s="4"/>
      <c r="V13" s="4"/>
      <c r="W13" s="4"/>
      <c r="X13" s="4"/>
      <c r="Y13" s="4"/>
      <c r="Z13" s="4"/>
      <c r="AA13" s="4"/>
      <c r="AB13" s="4"/>
      <c r="AC13" s="4"/>
    </row>
    <row r="14" spans="1:29" ht="71.25">
      <c r="A14" s="22" t="s">
        <v>31</v>
      </c>
      <c r="B14" s="23">
        <v>0</v>
      </c>
      <c r="C14" s="23">
        <v>310000000</v>
      </c>
      <c r="D14" s="24">
        <f t="shared" si="0"/>
        <v>310000000</v>
      </c>
      <c r="E14" s="23">
        <v>0</v>
      </c>
      <c r="F14" s="23">
        <v>310000000</v>
      </c>
      <c r="G14" s="24">
        <f t="shared" si="3"/>
        <v>310000000</v>
      </c>
      <c r="H14" s="23">
        <v>0</v>
      </c>
      <c r="I14" s="23">
        <v>446501705.42000002</v>
      </c>
      <c r="J14" s="24">
        <f t="shared" si="4"/>
        <v>446501705.42000002</v>
      </c>
      <c r="K14" s="38" t="s">
        <v>152</v>
      </c>
      <c r="L14" s="20" t="s">
        <v>244</v>
      </c>
      <c r="M14" s="83" t="s">
        <v>245</v>
      </c>
      <c r="N14" s="18"/>
      <c r="O14" s="18"/>
      <c r="P14" s="4"/>
      <c r="Q14" s="4"/>
      <c r="R14" s="4"/>
      <c r="S14" s="4"/>
      <c r="T14" s="4"/>
      <c r="U14" s="4"/>
      <c r="V14" s="4"/>
      <c r="W14" s="4"/>
      <c r="X14" s="4"/>
      <c r="Y14" s="4"/>
      <c r="Z14" s="4"/>
      <c r="AA14" s="4"/>
      <c r="AB14" s="4"/>
      <c r="AC14" s="4"/>
    </row>
    <row r="15" spans="1:29"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246</v>
      </c>
      <c r="L15" s="20" t="s">
        <v>237</v>
      </c>
      <c r="M15" s="83" t="s">
        <v>238</v>
      </c>
      <c r="N15" s="18"/>
      <c r="O15" s="18"/>
      <c r="P15" s="4"/>
      <c r="Q15" s="4"/>
      <c r="R15" s="4"/>
      <c r="S15" s="4"/>
      <c r="T15" s="4"/>
      <c r="U15" s="4"/>
      <c r="V15" s="4"/>
      <c r="W15" s="4"/>
      <c r="X15" s="4"/>
      <c r="Y15" s="4"/>
      <c r="Z15" s="4"/>
      <c r="AA15" s="4"/>
      <c r="AB15" s="4"/>
      <c r="AC15" s="4"/>
    </row>
    <row r="16" spans="1:29" ht="42.75">
      <c r="A16" s="22" t="s">
        <v>37</v>
      </c>
      <c r="B16" s="24">
        <f>71040828+96619306</f>
        <v>167660134</v>
      </c>
      <c r="C16" s="23">
        <v>0</v>
      </c>
      <c r="D16" s="24">
        <f t="shared" si="0"/>
        <v>167660134</v>
      </c>
      <c r="E16" s="24">
        <f>71040828+96619306</f>
        <v>167660134</v>
      </c>
      <c r="F16" s="23">
        <v>0</v>
      </c>
      <c r="G16" s="24">
        <f t="shared" si="3"/>
        <v>167660134</v>
      </c>
      <c r="H16" s="24">
        <f>89061818.8843019+121128812.458365</f>
        <v>210190631.34266689</v>
      </c>
      <c r="I16" s="23"/>
      <c r="J16" s="24">
        <f t="shared" si="4"/>
        <v>210190631.34266689</v>
      </c>
      <c r="K16" s="38" t="s">
        <v>233</v>
      </c>
      <c r="L16" s="20" t="s">
        <v>237</v>
      </c>
      <c r="M16" s="83" t="s">
        <v>238</v>
      </c>
      <c r="N16" s="18"/>
      <c r="O16" s="18"/>
      <c r="P16" s="4"/>
      <c r="Q16" s="4"/>
      <c r="R16" s="4"/>
      <c r="S16" s="4"/>
      <c r="T16" s="4"/>
      <c r="U16" s="4"/>
      <c r="V16" s="4"/>
      <c r="W16" s="4"/>
      <c r="X16" s="4"/>
      <c r="Y16" s="4"/>
      <c r="Z16" s="4"/>
      <c r="AA16" s="4"/>
      <c r="AB16" s="4"/>
      <c r="AC16" s="4"/>
    </row>
    <row r="17" spans="1:29" ht="15.75" customHeight="1">
      <c r="A17" s="44" t="s">
        <v>38</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8468339542.5994148</v>
      </c>
      <c r="I17" s="45">
        <f>SUM(I4:I16)+1884418557.71+774360635.86</f>
        <v>27735438592.259995</v>
      </c>
      <c r="J17" s="45">
        <f>SUM(J4:J16)</f>
        <v>36203778134.909416</v>
      </c>
      <c r="K17" s="46"/>
      <c r="L17" s="20" t="s">
        <v>240</v>
      </c>
      <c r="M17" s="48"/>
      <c r="N17" s="48"/>
      <c r="O17" s="71"/>
      <c r="P17" s="50"/>
      <c r="Q17" s="50"/>
      <c r="R17" s="50"/>
      <c r="S17" s="50"/>
      <c r="T17" s="50"/>
      <c r="U17" s="50"/>
      <c r="V17" s="50"/>
      <c r="W17" s="50"/>
      <c r="X17" s="50"/>
      <c r="Y17" s="50"/>
      <c r="Z17" s="50"/>
      <c r="AA17" s="50"/>
      <c r="AB17" s="50"/>
      <c r="AC17" s="50"/>
    </row>
    <row r="18" spans="1:29"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t="s">
        <v>221</v>
      </c>
      <c r="M18" s="18"/>
      <c r="N18" s="18"/>
      <c r="O18" s="18"/>
      <c r="P18" s="4"/>
      <c r="Q18" s="4"/>
      <c r="R18" s="4"/>
      <c r="S18" s="4"/>
      <c r="T18" s="4"/>
      <c r="U18" s="4"/>
      <c r="V18" s="4"/>
      <c r="W18" s="4"/>
      <c r="X18" s="4"/>
      <c r="Y18" s="4"/>
      <c r="Z18" s="4"/>
      <c r="AA18" s="4"/>
      <c r="AB18" s="4"/>
      <c r="AC18" s="4"/>
    </row>
    <row r="19" spans="1:29"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t="s">
        <v>221</v>
      </c>
      <c r="M19" s="18"/>
      <c r="N19" s="18"/>
      <c r="O19" s="18"/>
      <c r="P19" s="4"/>
      <c r="Q19" s="4"/>
      <c r="R19" s="4"/>
      <c r="S19" s="4"/>
      <c r="T19" s="4"/>
      <c r="U19" s="4"/>
      <c r="V19" s="4"/>
      <c r="W19" s="4"/>
      <c r="X19" s="4"/>
      <c r="Y19" s="4"/>
      <c r="Z19" s="4"/>
      <c r="AA19" s="4"/>
      <c r="AB19" s="4"/>
      <c r="AC19" s="4"/>
    </row>
    <row r="20" spans="1:29"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t="s">
        <v>221</v>
      </c>
      <c r="M20" s="18"/>
      <c r="N20" s="18"/>
      <c r="O20" s="18"/>
      <c r="P20" s="4"/>
      <c r="Q20" s="4"/>
      <c r="R20" s="4"/>
      <c r="S20" s="4"/>
      <c r="T20" s="4"/>
      <c r="U20" s="4"/>
      <c r="V20" s="4"/>
      <c r="W20" s="4"/>
      <c r="X20" s="4"/>
      <c r="Y20" s="4"/>
      <c r="Z20" s="4"/>
      <c r="AA20" s="4"/>
      <c r="AB20" s="4"/>
      <c r="AC20" s="4"/>
    </row>
    <row r="21" spans="1:29"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t="s">
        <v>221</v>
      </c>
      <c r="M21" s="18"/>
      <c r="N21" s="18"/>
      <c r="O21" s="18"/>
      <c r="P21" s="4"/>
      <c r="Q21" s="4"/>
      <c r="R21" s="4"/>
      <c r="S21" s="4"/>
      <c r="T21" s="4"/>
      <c r="U21" s="4"/>
      <c r="V21" s="4"/>
      <c r="W21" s="4"/>
      <c r="X21" s="4"/>
      <c r="Y21" s="4"/>
      <c r="Z21" s="4"/>
      <c r="AA21" s="4"/>
      <c r="AB21" s="4"/>
      <c r="AC21" s="4"/>
    </row>
    <row r="22" spans="1:29"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t="s">
        <v>247</v>
      </c>
      <c r="M22" s="48"/>
      <c r="N22" s="48"/>
      <c r="O22" s="48"/>
      <c r="P22" s="50"/>
      <c r="Q22" s="50"/>
      <c r="R22" s="50"/>
      <c r="S22" s="50"/>
      <c r="T22" s="50"/>
      <c r="U22" s="50"/>
      <c r="V22" s="50"/>
      <c r="W22" s="50"/>
      <c r="X22" s="50"/>
      <c r="Y22" s="50"/>
      <c r="Z22" s="50"/>
      <c r="AA22" s="50"/>
      <c r="AB22" s="50"/>
      <c r="AC22" s="50"/>
    </row>
    <row r="23" spans="1:29" ht="15.75" customHeight="1">
      <c r="A23" s="72" t="s">
        <v>45</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14635394787.599415</v>
      </c>
      <c r="I23" s="73">
        <f t="shared" si="11"/>
        <v>29345490542.259995</v>
      </c>
      <c r="J23" s="73">
        <f t="shared" si="11"/>
        <v>43980885329.909416</v>
      </c>
      <c r="K23" s="24"/>
      <c r="L23" s="17" t="s">
        <v>247</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5" t="s">
        <v>0</v>
      </c>
      <c r="B2" s="157" t="s">
        <v>1</v>
      </c>
      <c r="C2" s="158"/>
      <c r="D2" s="159"/>
      <c r="E2" s="157" t="s">
        <v>248</v>
      </c>
      <c r="F2" s="158"/>
      <c r="G2" s="159"/>
      <c r="H2" s="160" t="s">
        <v>249</v>
      </c>
      <c r="I2" s="158"/>
      <c r="J2" s="159"/>
      <c r="K2" s="161" t="s">
        <v>4</v>
      </c>
      <c r="L2" s="162" t="s">
        <v>48</v>
      </c>
      <c r="M2" s="2"/>
      <c r="N2" s="2"/>
      <c r="O2" s="2"/>
      <c r="P2" s="2"/>
      <c r="Q2" s="2"/>
      <c r="R2" s="2"/>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237</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2000000000+282312603.74+2325834136.37+8387.5+1088000000</f>
        <v>5696155127.6099997</v>
      </c>
      <c r="J5" s="26">
        <f t="shared" si="2"/>
        <v>5696155127.6099997</v>
      </c>
      <c r="K5" s="75" t="s">
        <v>250</v>
      </c>
      <c r="L5" s="20" t="s">
        <v>237</v>
      </c>
      <c r="M5" s="18"/>
      <c r="N5" s="18"/>
      <c r="O5" s="18"/>
      <c r="P5" s="4"/>
      <c r="Q5" s="4"/>
      <c r="R5" s="4"/>
      <c r="S5" s="4"/>
      <c r="T5" s="4"/>
      <c r="U5" s="4"/>
      <c r="V5" s="4"/>
      <c r="W5" s="4"/>
      <c r="X5" s="4"/>
      <c r="Y5" s="4"/>
      <c r="Z5" s="4"/>
      <c r="AA5" s="4"/>
      <c r="AB5" s="4"/>
      <c r="AC5" s="4"/>
    </row>
    <row r="6" spans="1:29" ht="14.25">
      <c r="A6" s="22" t="s">
        <v>12</v>
      </c>
      <c r="B6" s="29">
        <v>2375000000</v>
      </c>
      <c r="C6" s="30">
        <v>125000000</v>
      </c>
      <c r="D6" s="30">
        <f t="shared" si="0"/>
        <v>2500000000</v>
      </c>
      <c r="E6" s="74">
        <v>773186202.96000004</v>
      </c>
      <c r="F6" s="74" t="s">
        <v>251</v>
      </c>
      <c r="G6" s="74">
        <v>2500000000</v>
      </c>
      <c r="H6" s="74">
        <v>1314399106.6900001</v>
      </c>
      <c r="I6" s="74" t="s">
        <v>252</v>
      </c>
      <c r="J6" s="26">
        <f>1314399106.69+1806048179.08</f>
        <v>3120447285.77</v>
      </c>
      <c r="K6" s="74" t="s">
        <v>198</v>
      </c>
      <c r="L6" s="20" t="s">
        <v>240</v>
      </c>
      <c r="M6" s="18"/>
      <c r="N6" s="18"/>
      <c r="O6" s="18"/>
      <c r="P6" s="5"/>
      <c r="Q6" s="5"/>
      <c r="R6" s="5"/>
      <c r="S6" s="5"/>
      <c r="T6" s="5"/>
      <c r="U6" s="5"/>
      <c r="V6" s="5"/>
      <c r="W6" s="5"/>
      <c r="X6" s="5"/>
      <c r="Y6" s="5"/>
      <c r="Z6" s="5"/>
      <c r="AA6" s="5"/>
      <c r="AB6" s="5"/>
      <c r="AC6" s="5"/>
    </row>
    <row r="7" spans="1:29" ht="128.25">
      <c r="A7" s="22" t="s">
        <v>16</v>
      </c>
      <c r="B7" s="29">
        <v>1500000000</v>
      </c>
      <c r="C7" s="23">
        <v>0</v>
      </c>
      <c r="D7" s="24">
        <f t="shared" si="0"/>
        <v>1500000000</v>
      </c>
      <c r="E7" s="74">
        <v>766739875.00999999</v>
      </c>
      <c r="F7" s="74" t="s">
        <v>200</v>
      </c>
      <c r="G7" s="24">
        <v>1500000000</v>
      </c>
      <c r="H7" s="23">
        <v>1101299996.45</v>
      </c>
      <c r="I7" s="74" t="s">
        <v>253</v>
      </c>
      <c r="J7" s="24">
        <f>H7+770968375.01</f>
        <v>1872268371.46</v>
      </c>
      <c r="K7" s="38" t="s">
        <v>202</v>
      </c>
      <c r="L7" s="20" t="s">
        <v>240</v>
      </c>
      <c r="M7" s="18"/>
      <c r="N7" s="18"/>
      <c r="O7" s="18"/>
      <c r="P7" s="5"/>
      <c r="Q7" s="5"/>
      <c r="R7" s="5"/>
      <c r="S7" s="5"/>
      <c r="T7" s="5"/>
      <c r="U7" s="5"/>
      <c r="V7" s="5"/>
      <c r="W7" s="5"/>
      <c r="X7" s="5"/>
      <c r="Y7" s="5"/>
      <c r="Z7" s="5"/>
      <c r="AA7" s="5"/>
      <c r="AB7" s="5"/>
      <c r="AC7" s="5"/>
    </row>
    <row r="8" spans="1:29"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t="s">
        <v>237</v>
      </c>
      <c r="M8" s="18"/>
      <c r="N8" s="18"/>
      <c r="O8" s="18"/>
      <c r="P8" s="4"/>
      <c r="Q8" s="4"/>
      <c r="R8" s="4"/>
      <c r="S8" s="4"/>
      <c r="T8" s="4"/>
      <c r="U8" s="4"/>
      <c r="V8" s="4"/>
      <c r="W8" s="4"/>
      <c r="X8" s="4"/>
      <c r="Y8" s="4"/>
      <c r="Z8" s="4"/>
      <c r="AA8" s="4"/>
      <c r="AB8" s="4"/>
      <c r="AC8" s="4"/>
    </row>
    <row r="9" spans="1:29" ht="14.25">
      <c r="A9" s="28" t="s">
        <v>22</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254</v>
      </c>
      <c r="L9" s="20" t="s">
        <v>243</v>
      </c>
      <c r="M9" s="18"/>
      <c r="N9" s="18"/>
      <c r="O9" s="18"/>
      <c r="P9" s="4"/>
      <c r="Q9" s="4"/>
      <c r="R9" s="4"/>
      <c r="S9" s="4"/>
      <c r="T9" s="4"/>
      <c r="U9" s="4"/>
      <c r="V9" s="4"/>
      <c r="W9" s="4"/>
      <c r="X9" s="4"/>
      <c r="Y9" s="4"/>
      <c r="Z9" s="4"/>
      <c r="AA9" s="4"/>
      <c r="AB9" s="4"/>
      <c r="AC9" s="4"/>
    </row>
    <row r="10" spans="1:29" ht="71.25">
      <c r="A10" s="22" t="s">
        <v>24</v>
      </c>
      <c r="B10" s="23">
        <v>0</v>
      </c>
      <c r="C10" s="23">
        <v>2050000000</v>
      </c>
      <c r="D10" s="24">
        <f t="shared" si="0"/>
        <v>2050000000</v>
      </c>
      <c r="E10" s="23">
        <v>0</v>
      </c>
      <c r="F10" s="23">
        <v>2050000000</v>
      </c>
      <c r="G10" s="24">
        <f t="shared" si="3"/>
        <v>2050000000</v>
      </c>
      <c r="H10" s="23">
        <v>0</v>
      </c>
      <c r="I10" s="23">
        <v>2961903618.8800001</v>
      </c>
      <c r="J10" s="24">
        <f t="shared" si="4"/>
        <v>2961903618.8800001</v>
      </c>
      <c r="K10" s="38" t="s">
        <v>149</v>
      </c>
      <c r="L10" s="20" t="s">
        <v>244</v>
      </c>
      <c r="M10" s="18"/>
      <c r="N10" s="18"/>
      <c r="O10" s="18"/>
      <c r="P10" s="4"/>
      <c r="Q10" s="4"/>
      <c r="R10" s="4"/>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3644277537+(5*518269874.82)</f>
        <v>6235626911.1000004</v>
      </c>
      <c r="J11" s="24">
        <f t="shared" si="4"/>
        <v>6235626911.1000004</v>
      </c>
      <c r="K11" s="38" t="s">
        <v>151</v>
      </c>
      <c r="L11" s="20" t="s">
        <v>244</v>
      </c>
      <c r="M11" s="18"/>
      <c r="N11" s="18"/>
      <c r="O11" s="18"/>
      <c r="P11" s="4"/>
      <c r="Q11" s="4"/>
      <c r="R11" s="4"/>
      <c r="S11" s="4"/>
      <c r="T11" s="4"/>
      <c r="U11" s="4"/>
      <c r="V11" s="4"/>
      <c r="W11" s="4"/>
      <c r="X11" s="4"/>
      <c r="Y11" s="4"/>
      <c r="Z11" s="4"/>
      <c r="AA11" s="4"/>
      <c r="AB11" s="4"/>
      <c r="AC11" s="4"/>
    </row>
    <row r="12" spans="1:29" ht="71.25">
      <c r="A12" s="22" t="s">
        <v>28</v>
      </c>
      <c r="B12" s="23">
        <v>0</v>
      </c>
      <c r="C12" s="23">
        <v>3650000000</v>
      </c>
      <c r="D12" s="24">
        <f t="shared" si="0"/>
        <v>3650000000</v>
      </c>
      <c r="E12" s="23">
        <v>0</v>
      </c>
      <c r="F12" s="23">
        <v>3650000000</v>
      </c>
      <c r="G12" s="24">
        <f t="shared" si="3"/>
        <v>3650000000</v>
      </c>
      <c r="H12" s="23">
        <v>0</v>
      </c>
      <c r="I12" s="23">
        <v>4536303526.79</v>
      </c>
      <c r="J12" s="24">
        <f t="shared" si="4"/>
        <v>4536303526.79</v>
      </c>
      <c r="K12" s="38" t="s">
        <v>152</v>
      </c>
      <c r="L12" s="20" t="s">
        <v>244</v>
      </c>
      <c r="M12" s="18"/>
      <c r="N12" s="18"/>
      <c r="O12" s="18"/>
      <c r="P12" s="4"/>
      <c r="Q12" s="4"/>
      <c r="R12" s="4"/>
      <c r="S12" s="4"/>
      <c r="T12" s="4"/>
      <c r="U12" s="4"/>
      <c r="V12" s="4"/>
      <c r="W12" s="4"/>
      <c r="X12" s="4"/>
      <c r="Y12" s="4"/>
      <c r="Z12" s="4"/>
      <c r="AA12" s="4"/>
      <c r="AB12" s="4"/>
      <c r="AC12" s="4"/>
    </row>
    <row r="13" spans="1:29" ht="42.75">
      <c r="A13" s="22" t="s">
        <v>29</v>
      </c>
      <c r="B13" s="24">
        <v>135000000</v>
      </c>
      <c r="C13" s="23">
        <v>0</v>
      </c>
      <c r="D13" s="24">
        <f t="shared" si="0"/>
        <v>135000000</v>
      </c>
      <c r="E13" s="23">
        <v>135000000</v>
      </c>
      <c r="F13" s="23">
        <v>0</v>
      </c>
      <c r="G13" s="24">
        <f t="shared" si="3"/>
        <v>135000000</v>
      </c>
      <c r="H13" s="23">
        <v>168504153.43000001</v>
      </c>
      <c r="I13" s="23">
        <v>0</v>
      </c>
      <c r="J13" s="24">
        <f t="shared" si="4"/>
        <v>168504153.43000001</v>
      </c>
      <c r="K13" s="38" t="s">
        <v>255</v>
      </c>
      <c r="L13" s="20" t="s">
        <v>115</v>
      </c>
      <c r="M13" s="18"/>
      <c r="N13" s="18"/>
      <c r="O13" s="18"/>
      <c r="P13" s="4"/>
      <c r="Q13" s="4"/>
      <c r="R13" s="4"/>
      <c r="S13" s="4"/>
      <c r="T13" s="4"/>
      <c r="U13" s="4"/>
      <c r="V13" s="4"/>
      <c r="W13" s="4"/>
      <c r="X13" s="4"/>
      <c r="Y13" s="4"/>
      <c r="Z13" s="4"/>
      <c r="AA13" s="4"/>
      <c r="AB13" s="4"/>
      <c r="AC13" s="4"/>
    </row>
    <row r="14" spans="1:29" ht="71.25">
      <c r="A14" s="22" t="s">
        <v>31</v>
      </c>
      <c r="B14" s="23">
        <v>0</v>
      </c>
      <c r="C14" s="23">
        <v>310000000</v>
      </c>
      <c r="D14" s="24">
        <f t="shared" si="0"/>
        <v>310000000</v>
      </c>
      <c r="E14" s="23">
        <v>0</v>
      </c>
      <c r="F14" s="23">
        <v>310000000</v>
      </c>
      <c r="G14" s="24">
        <f t="shared" si="3"/>
        <v>310000000</v>
      </c>
      <c r="H14" s="23">
        <v>0</v>
      </c>
      <c r="I14" s="23">
        <v>443278220.94</v>
      </c>
      <c r="J14" s="24">
        <f t="shared" si="4"/>
        <v>443278220.94</v>
      </c>
      <c r="K14" s="38" t="s">
        <v>152</v>
      </c>
      <c r="L14" s="20" t="s">
        <v>244</v>
      </c>
      <c r="M14" s="18"/>
      <c r="N14" s="18"/>
      <c r="O14" s="18"/>
      <c r="P14" s="4"/>
      <c r="Q14" s="4"/>
      <c r="R14" s="4"/>
      <c r="S14" s="4"/>
      <c r="T14" s="4"/>
      <c r="U14" s="4"/>
      <c r="V14" s="4"/>
      <c r="W14" s="4"/>
      <c r="X14" s="4"/>
      <c r="Y14" s="4"/>
      <c r="Z14" s="4"/>
      <c r="AA14" s="4"/>
      <c r="AB14" s="4"/>
      <c r="AC14" s="4"/>
    </row>
    <row r="15" spans="1:29"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256</v>
      </c>
      <c r="L15" s="20" t="s">
        <v>237</v>
      </c>
      <c r="M15" s="18"/>
      <c r="N15" s="18"/>
      <c r="O15" s="18"/>
      <c r="P15" s="4"/>
      <c r="Q15" s="4"/>
      <c r="R15" s="4"/>
      <c r="S15" s="4"/>
      <c r="T15" s="4"/>
      <c r="U15" s="4"/>
      <c r="V15" s="4"/>
      <c r="W15" s="4"/>
      <c r="X15" s="4"/>
      <c r="Y15" s="4"/>
      <c r="Z15" s="4"/>
      <c r="AA15" s="4"/>
      <c r="AB15" s="4"/>
      <c r="AC15" s="4"/>
    </row>
    <row r="16" spans="1:29" ht="42.75">
      <c r="A16" s="22" t="s">
        <v>37</v>
      </c>
      <c r="B16" s="24">
        <f>71040828+96619306</f>
        <v>167660134</v>
      </c>
      <c r="C16" s="23">
        <v>0</v>
      </c>
      <c r="D16" s="24">
        <f t="shared" si="0"/>
        <v>167660134</v>
      </c>
      <c r="E16" s="24">
        <f>71040828+96619306</f>
        <v>167660134</v>
      </c>
      <c r="F16" s="23">
        <v>0</v>
      </c>
      <c r="G16" s="24">
        <f t="shared" si="3"/>
        <v>167660134</v>
      </c>
      <c r="H16" s="24">
        <f>88671663.56+120598180.46</f>
        <v>209269844.01999998</v>
      </c>
      <c r="I16" s="23"/>
      <c r="J16" s="24">
        <f t="shared" si="4"/>
        <v>209269844.01999998</v>
      </c>
      <c r="K16" s="38" t="s">
        <v>255</v>
      </c>
      <c r="L16" s="20" t="s">
        <v>237</v>
      </c>
      <c r="M16" s="18"/>
      <c r="N16" s="18"/>
      <c r="O16" s="18"/>
      <c r="P16" s="4"/>
      <c r="Q16" s="4"/>
      <c r="R16" s="4"/>
      <c r="S16" s="4"/>
      <c r="T16" s="4"/>
      <c r="U16" s="4"/>
      <c r="V16" s="4"/>
      <c r="W16" s="4"/>
      <c r="X16" s="4"/>
      <c r="Y16" s="4"/>
      <c r="Z16" s="4"/>
      <c r="AA16" s="4"/>
      <c r="AB16" s="4"/>
      <c r="AC16" s="4"/>
    </row>
    <row r="17" spans="1:29" ht="15.75" customHeight="1">
      <c r="A17" s="44" t="s">
        <v>38</v>
      </c>
      <c r="B17" s="45">
        <f t="shared" ref="B17:E17" si="5">SUM(B4:B16)</f>
        <v>11327660134</v>
      </c>
      <c r="C17" s="45">
        <f t="shared" si="5"/>
        <v>18585000000</v>
      </c>
      <c r="D17" s="45">
        <f t="shared" si="5"/>
        <v>29912660134</v>
      </c>
      <c r="E17" s="45">
        <f t="shared" si="5"/>
        <v>7575585138.9700003</v>
      </c>
      <c r="F17" s="45">
        <f>SUM(F4:F16)+1726813797.04+733260124.99</f>
        <v>22337074995.030003</v>
      </c>
      <c r="G17" s="45">
        <f t="shared" ref="G17:H17" si="6">SUM(G4:G16)</f>
        <v>29912660134</v>
      </c>
      <c r="H17" s="45">
        <f t="shared" si="6"/>
        <v>8526472027.5900002</v>
      </c>
      <c r="I17" s="45">
        <f>SUM(I4:I16)+1806048179.08+770968375.01</f>
        <v>27468376265.48</v>
      </c>
      <c r="J17" s="45">
        <f>SUM(J4:J16)</f>
        <v>35994848293.07</v>
      </c>
      <c r="K17" s="46"/>
      <c r="L17" s="20" t="s">
        <v>240</v>
      </c>
      <c r="M17" s="48"/>
      <c r="N17" s="48"/>
      <c r="O17" s="71"/>
      <c r="P17" s="50"/>
      <c r="Q17" s="50"/>
      <c r="R17" s="50"/>
      <c r="S17" s="50"/>
      <c r="T17" s="50"/>
      <c r="U17" s="50"/>
      <c r="V17" s="50"/>
      <c r="W17" s="50"/>
      <c r="X17" s="50"/>
      <c r="Y17" s="50"/>
      <c r="Z17" s="50"/>
      <c r="AA17" s="50"/>
      <c r="AB17" s="50"/>
      <c r="AC17" s="50"/>
    </row>
    <row r="18" spans="1:29"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t="s">
        <v>221</v>
      </c>
      <c r="M18" s="18"/>
      <c r="N18" s="18"/>
      <c r="O18" s="18"/>
      <c r="P18" s="4"/>
      <c r="Q18" s="4"/>
      <c r="R18" s="4"/>
      <c r="S18" s="4"/>
      <c r="T18" s="4"/>
      <c r="U18" s="4"/>
      <c r="V18" s="4"/>
      <c r="W18" s="4"/>
      <c r="X18" s="4"/>
      <c r="Y18" s="4"/>
      <c r="Z18" s="4"/>
      <c r="AA18" s="4"/>
      <c r="AB18" s="4"/>
      <c r="AC18" s="4"/>
    </row>
    <row r="19" spans="1:29"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t="s">
        <v>221</v>
      </c>
      <c r="M19" s="18"/>
      <c r="N19" s="18"/>
      <c r="O19" s="18"/>
      <c r="P19" s="4"/>
      <c r="Q19" s="4"/>
      <c r="R19" s="4"/>
      <c r="S19" s="4"/>
      <c r="T19" s="4"/>
      <c r="U19" s="4"/>
      <c r="V19" s="4"/>
      <c r="W19" s="4"/>
      <c r="X19" s="4"/>
      <c r="Y19" s="4"/>
      <c r="Z19" s="4"/>
      <c r="AA19" s="4"/>
      <c r="AB19" s="4"/>
      <c r="AC19" s="4"/>
    </row>
    <row r="20" spans="1:29"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t="s">
        <v>221</v>
      </c>
      <c r="M20" s="18"/>
      <c r="N20" s="18"/>
      <c r="O20" s="18"/>
      <c r="P20" s="4"/>
      <c r="Q20" s="4"/>
      <c r="R20" s="4"/>
      <c r="S20" s="4"/>
      <c r="T20" s="4"/>
      <c r="U20" s="4"/>
      <c r="V20" s="4"/>
      <c r="W20" s="4"/>
      <c r="X20" s="4"/>
      <c r="Y20" s="4"/>
      <c r="Z20" s="4"/>
      <c r="AA20" s="4"/>
      <c r="AB20" s="4"/>
      <c r="AC20" s="4"/>
    </row>
    <row r="21" spans="1:29"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t="s">
        <v>221</v>
      </c>
      <c r="M21" s="18"/>
      <c r="N21" s="18"/>
      <c r="O21" s="18"/>
      <c r="P21" s="4"/>
      <c r="Q21" s="4"/>
      <c r="R21" s="4"/>
      <c r="S21" s="4"/>
      <c r="T21" s="4"/>
      <c r="U21" s="4"/>
      <c r="V21" s="4"/>
      <c r="W21" s="4"/>
      <c r="X21" s="4"/>
      <c r="Y21" s="4"/>
      <c r="Z21" s="4"/>
      <c r="AA21" s="4"/>
      <c r="AB21" s="4"/>
      <c r="AC21" s="4"/>
    </row>
    <row r="22" spans="1:29"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t="s">
        <v>247</v>
      </c>
      <c r="M22" s="48"/>
      <c r="N22" s="48"/>
      <c r="O22" s="48"/>
      <c r="P22" s="50"/>
      <c r="Q22" s="50"/>
      <c r="R22" s="50"/>
      <c r="S22" s="50"/>
      <c r="T22" s="50"/>
      <c r="U22" s="50"/>
      <c r="V22" s="50"/>
      <c r="W22" s="50"/>
      <c r="X22" s="50"/>
      <c r="Y22" s="50"/>
      <c r="Z22" s="50"/>
      <c r="AA22" s="50"/>
      <c r="AB22" s="50"/>
      <c r="AC22" s="50"/>
    </row>
    <row r="23" spans="1:29" ht="15.75" customHeight="1">
      <c r="A23" s="72" t="s">
        <v>45</v>
      </c>
      <c r="B23" s="73">
        <f t="shared" ref="B23:J23" si="11">B17+B22</f>
        <v>17494715379</v>
      </c>
      <c r="C23" s="73">
        <f t="shared" si="11"/>
        <v>20195051950</v>
      </c>
      <c r="D23" s="73">
        <f t="shared" si="11"/>
        <v>37689767329</v>
      </c>
      <c r="E23" s="73">
        <f t="shared" si="11"/>
        <v>13742640383.970001</v>
      </c>
      <c r="F23" s="73">
        <f t="shared" si="11"/>
        <v>23947126945.030003</v>
      </c>
      <c r="G23" s="73">
        <f t="shared" si="11"/>
        <v>37689767329</v>
      </c>
      <c r="H23" s="73">
        <f t="shared" si="11"/>
        <v>14693527272.59</v>
      </c>
      <c r="I23" s="73">
        <f t="shared" si="11"/>
        <v>29078428215.48</v>
      </c>
      <c r="J23" s="73">
        <f t="shared" si="11"/>
        <v>43771955488.07</v>
      </c>
      <c r="K23" s="24"/>
      <c r="L23" s="17" t="s">
        <v>247</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5" t="s">
        <v>0</v>
      </c>
      <c r="B2" s="157" t="s">
        <v>1</v>
      </c>
      <c r="C2" s="158"/>
      <c r="D2" s="159"/>
      <c r="E2" s="157" t="s">
        <v>257</v>
      </c>
      <c r="F2" s="158"/>
      <c r="G2" s="159"/>
      <c r="H2" s="160" t="s">
        <v>258</v>
      </c>
      <c r="I2" s="158"/>
      <c r="J2" s="159"/>
      <c r="K2" s="161" t="s">
        <v>4</v>
      </c>
      <c r="L2" s="162" t="s">
        <v>48</v>
      </c>
      <c r="M2" s="2"/>
      <c r="N2" s="2"/>
      <c r="O2" s="2"/>
      <c r="P2" s="2"/>
      <c r="Q2" s="2"/>
      <c r="R2" s="2"/>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8" t="s">
        <v>221</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2000000000+282312603.74+2325834136.37+8387.5+1068000000</f>
        <v>5676155127.6099997</v>
      </c>
      <c r="J5" s="26">
        <f t="shared" si="2"/>
        <v>5676155127.6099997</v>
      </c>
      <c r="K5" s="75" t="s">
        <v>259</v>
      </c>
      <c r="L5" s="18" t="s">
        <v>221</v>
      </c>
      <c r="M5" s="18"/>
      <c r="N5" s="18"/>
      <c r="O5" s="18"/>
      <c r="P5" s="4"/>
      <c r="Q5" s="4"/>
      <c r="R5" s="4"/>
      <c r="S5" s="4"/>
      <c r="T5" s="4"/>
      <c r="U5" s="4"/>
      <c r="V5" s="4"/>
      <c r="W5" s="4"/>
      <c r="X5" s="4"/>
      <c r="Y5" s="4"/>
      <c r="Z5" s="4"/>
      <c r="AA5" s="4"/>
      <c r="AB5" s="4"/>
      <c r="AC5" s="4"/>
    </row>
    <row r="6" spans="1:29" ht="14.25">
      <c r="A6" s="22" t="s">
        <v>12</v>
      </c>
      <c r="B6" s="29">
        <v>2375000000</v>
      </c>
      <c r="C6" s="30">
        <v>125000000</v>
      </c>
      <c r="D6" s="30">
        <f t="shared" si="0"/>
        <v>2500000000</v>
      </c>
      <c r="E6" s="74">
        <v>783086225.48000002</v>
      </c>
      <c r="F6" s="74" t="s">
        <v>260</v>
      </c>
      <c r="G6" s="74">
        <v>2500000000</v>
      </c>
      <c r="H6" s="74">
        <v>1324564042.02</v>
      </c>
      <c r="I6" s="74" t="s">
        <v>261</v>
      </c>
      <c r="J6" s="26">
        <v>3121071500.0700002</v>
      </c>
      <c r="K6" s="74" t="s">
        <v>198</v>
      </c>
      <c r="L6" s="18" t="s">
        <v>221</v>
      </c>
      <c r="M6" s="18"/>
      <c r="N6" s="18"/>
      <c r="O6" s="18"/>
      <c r="P6" s="5"/>
      <c r="Q6" s="5"/>
      <c r="R6" s="5"/>
      <c r="S6" s="5"/>
      <c r="T6" s="5"/>
      <c r="U6" s="5"/>
      <c r="V6" s="5"/>
      <c r="W6" s="5"/>
      <c r="X6" s="5"/>
      <c r="Y6" s="5"/>
      <c r="Z6" s="5"/>
      <c r="AA6" s="5"/>
      <c r="AB6" s="5"/>
      <c r="AC6" s="5"/>
    </row>
    <row r="7" spans="1:29" ht="128.25">
      <c r="A7" s="22" t="s">
        <v>16</v>
      </c>
      <c r="B7" s="29">
        <v>1500000000</v>
      </c>
      <c r="C7" s="23">
        <v>0</v>
      </c>
      <c r="D7" s="24">
        <f t="shared" si="0"/>
        <v>1500000000</v>
      </c>
      <c r="E7" s="74">
        <v>766739875.00999999</v>
      </c>
      <c r="F7" s="74" t="s">
        <v>200</v>
      </c>
      <c r="G7" s="24">
        <v>1500000000</v>
      </c>
      <c r="H7" s="24">
        <v>1101520300.51</v>
      </c>
      <c r="I7" s="74" t="s">
        <v>262</v>
      </c>
      <c r="J7" s="24">
        <v>1872642900.04</v>
      </c>
      <c r="K7" s="38" t="s">
        <v>202</v>
      </c>
      <c r="L7" s="18" t="s">
        <v>221</v>
      </c>
      <c r="M7" s="18"/>
      <c r="N7" s="18"/>
      <c r="O7" s="18"/>
      <c r="P7" s="5"/>
      <c r="Q7" s="5"/>
      <c r="R7" s="5"/>
      <c r="S7" s="5"/>
      <c r="T7" s="5"/>
      <c r="U7" s="5"/>
      <c r="V7" s="5"/>
      <c r="W7" s="5"/>
      <c r="X7" s="5"/>
      <c r="Y7" s="5"/>
      <c r="Z7" s="5"/>
      <c r="AA7" s="5"/>
      <c r="AB7" s="5"/>
      <c r="AC7" s="5"/>
    </row>
    <row r="8" spans="1:29"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18" t="s">
        <v>221</v>
      </c>
      <c r="M8" s="18"/>
      <c r="N8" s="18"/>
      <c r="O8" s="18"/>
      <c r="P8" s="4"/>
      <c r="Q8" s="4"/>
      <c r="R8" s="4"/>
      <c r="S8" s="4"/>
      <c r="T8" s="4"/>
      <c r="U8" s="4"/>
      <c r="V8" s="4"/>
      <c r="W8" s="4"/>
      <c r="X8" s="4"/>
      <c r="Y8" s="4"/>
      <c r="Z8" s="4"/>
      <c r="AA8" s="4"/>
      <c r="AB8" s="4"/>
      <c r="AC8" s="4"/>
    </row>
    <row r="9" spans="1:29" ht="14.25">
      <c r="A9" s="28" t="s">
        <v>22</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254</v>
      </c>
      <c r="L9" s="18" t="s">
        <v>221</v>
      </c>
      <c r="M9" s="18"/>
      <c r="N9" s="18"/>
      <c r="O9" s="18"/>
      <c r="P9" s="4"/>
      <c r="Q9" s="4"/>
      <c r="R9" s="4"/>
      <c r="S9" s="4"/>
      <c r="T9" s="4"/>
      <c r="U9" s="4"/>
      <c r="V9" s="4"/>
      <c r="W9" s="4"/>
      <c r="X9" s="4"/>
      <c r="Y9" s="4"/>
      <c r="Z9" s="4"/>
      <c r="AA9" s="4"/>
      <c r="AB9" s="4"/>
      <c r="AC9" s="4"/>
    </row>
    <row r="10" spans="1:29" ht="71.25">
      <c r="A10" s="22" t="s">
        <v>24</v>
      </c>
      <c r="B10" s="23">
        <v>0</v>
      </c>
      <c r="C10" s="23">
        <v>2050000000</v>
      </c>
      <c r="D10" s="24">
        <f t="shared" si="0"/>
        <v>2050000000</v>
      </c>
      <c r="E10" s="23">
        <v>0</v>
      </c>
      <c r="F10" s="23">
        <v>2050000000</v>
      </c>
      <c r="G10" s="24">
        <f t="shared" si="3"/>
        <v>2050000000</v>
      </c>
      <c r="H10" s="23">
        <v>0</v>
      </c>
      <c r="I10" s="23">
        <v>2936910903.5500002</v>
      </c>
      <c r="J10" s="24">
        <f t="shared" si="4"/>
        <v>2936910903.5500002</v>
      </c>
      <c r="K10" s="38" t="s">
        <v>149</v>
      </c>
      <c r="L10" s="18" t="s">
        <v>221</v>
      </c>
      <c r="M10" s="18"/>
      <c r="N10" s="18"/>
      <c r="O10" s="18"/>
      <c r="P10" s="4"/>
      <c r="Q10" s="4"/>
      <c r="R10" s="4"/>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3627331328.18+(5*518269874.82)</f>
        <v>6218680702.2799997</v>
      </c>
      <c r="J11" s="24">
        <f t="shared" si="4"/>
        <v>6218680702.2799997</v>
      </c>
      <c r="K11" s="38" t="s">
        <v>151</v>
      </c>
      <c r="L11" s="18" t="s">
        <v>221</v>
      </c>
      <c r="M11" s="18"/>
      <c r="N11" s="18"/>
      <c r="O11" s="18"/>
      <c r="P11" s="4"/>
      <c r="Q11" s="4"/>
      <c r="R11" s="4"/>
      <c r="S11" s="4"/>
      <c r="T11" s="4"/>
      <c r="U11" s="4"/>
      <c r="V11" s="4"/>
      <c r="W11" s="4"/>
      <c r="X11" s="4"/>
      <c r="Y11" s="4"/>
      <c r="Z11" s="4"/>
      <c r="AA11" s="4"/>
      <c r="AB11" s="4"/>
      <c r="AC11" s="4"/>
    </row>
    <row r="12" spans="1:29" ht="71.25">
      <c r="A12" s="22" t="s">
        <v>28</v>
      </c>
      <c r="B12" s="23">
        <v>0</v>
      </c>
      <c r="C12" s="23">
        <v>3650000000</v>
      </c>
      <c r="D12" s="24">
        <f t="shared" si="0"/>
        <v>3650000000</v>
      </c>
      <c r="E12" s="23">
        <v>0</v>
      </c>
      <c r="F12" s="23">
        <v>3650000000</v>
      </c>
      <c r="G12" s="24">
        <f t="shared" si="3"/>
        <v>3650000000</v>
      </c>
      <c r="H12" s="23">
        <v>0</v>
      </c>
      <c r="I12" s="23">
        <v>4516107832.1899996</v>
      </c>
      <c r="J12" s="24">
        <f t="shared" si="4"/>
        <v>4516107832.1899996</v>
      </c>
      <c r="K12" s="38" t="s">
        <v>152</v>
      </c>
      <c r="L12" s="18" t="s">
        <v>221</v>
      </c>
      <c r="M12" s="18"/>
      <c r="N12" s="18"/>
      <c r="O12" s="18"/>
      <c r="P12" s="4"/>
      <c r="Q12" s="4"/>
      <c r="R12" s="4"/>
      <c r="S12" s="4"/>
      <c r="T12" s="4"/>
      <c r="U12" s="4"/>
      <c r="V12" s="4"/>
      <c r="W12" s="4"/>
      <c r="X12" s="4"/>
      <c r="Y12" s="4"/>
      <c r="Z12" s="4"/>
      <c r="AA12" s="4"/>
      <c r="AB12" s="4"/>
      <c r="AC12" s="4"/>
    </row>
    <row r="13" spans="1:29" ht="42.75">
      <c r="A13" s="22" t="s">
        <v>29</v>
      </c>
      <c r="B13" s="24">
        <v>135000000</v>
      </c>
      <c r="C13" s="23">
        <v>0</v>
      </c>
      <c r="D13" s="24">
        <f t="shared" si="0"/>
        <v>135000000</v>
      </c>
      <c r="E13" s="23">
        <v>135000000</v>
      </c>
      <c r="F13" s="23">
        <v>0</v>
      </c>
      <c r="G13" s="24">
        <f t="shared" si="3"/>
        <v>135000000</v>
      </c>
      <c r="H13" s="23">
        <v>168537861</v>
      </c>
      <c r="I13" s="23">
        <v>0</v>
      </c>
      <c r="J13" s="24">
        <f t="shared" si="4"/>
        <v>168537861</v>
      </c>
      <c r="K13" s="38" t="s">
        <v>263</v>
      </c>
      <c r="L13" s="18" t="s">
        <v>221</v>
      </c>
      <c r="M13" s="18"/>
      <c r="N13" s="18"/>
      <c r="O13" s="18"/>
      <c r="P13" s="4"/>
      <c r="Q13" s="4"/>
      <c r="R13" s="4"/>
      <c r="S13" s="4"/>
      <c r="T13" s="4"/>
      <c r="U13" s="4"/>
      <c r="V13" s="4"/>
      <c r="W13" s="4"/>
      <c r="X13" s="4"/>
      <c r="Y13" s="4"/>
      <c r="Z13" s="4"/>
      <c r="AA13" s="4"/>
      <c r="AB13" s="4"/>
      <c r="AC13" s="4"/>
    </row>
    <row r="14" spans="1:29" ht="71.25">
      <c r="A14" s="22" t="s">
        <v>31</v>
      </c>
      <c r="B14" s="23">
        <v>0</v>
      </c>
      <c r="C14" s="23">
        <v>310000000</v>
      </c>
      <c r="D14" s="24">
        <f t="shared" si="0"/>
        <v>310000000</v>
      </c>
      <c r="E14" s="23">
        <v>0</v>
      </c>
      <c r="F14" s="23">
        <v>310000000</v>
      </c>
      <c r="G14" s="24">
        <f t="shared" si="3"/>
        <v>310000000</v>
      </c>
      <c r="H14" s="23">
        <v>0</v>
      </c>
      <c r="I14" s="23">
        <v>439853434.13999999</v>
      </c>
      <c r="J14" s="24">
        <f t="shared" si="4"/>
        <v>439853434.13999999</v>
      </c>
      <c r="K14" s="38" t="s">
        <v>152</v>
      </c>
      <c r="L14" s="18" t="s">
        <v>221</v>
      </c>
      <c r="M14" s="18"/>
      <c r="N14" s="18"/>
      <c r="O14" s="18"/>
      <c r="P14" s="4"/>
      <c r="Q14" s="4"/>
      <c r="R14" s="4"/>
      <c r="S14" s="4"/>
      <c r="T14" s="4"/>
      <c r="U14" s="4"/>
      <c r="V14" s="4"/>
      <c r="W14" s="4"/>
      <c r="X14" s="4"/>
      <c r="Y14" s="4"/>
      <c r="Z14" s="4"/>
      <c r="AA14" s="4"/>
      <c r="AB14" s="4"/>
      <c r="AC14" s="4"/>
    </row>
    <row r="15" spans="1:29"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264</v>
      </c>
      <c r="L15" s="18" t="s">
        <v>221</v>
      </c>
      <c r="M15" s="18"/>
      <c r="N15" s="18"/>
      <c r="O15" s="18"/>
      <c r="P15" s="4"/>
      <c r="Q15" s="4"/>
      <c r="R15" s="4"/>
      <c r="S15" s="4"/>
      <c r="T15" s="4"/>
      <c r="U15" s="4"/>
      <c r="V15" s="4"/>
      <c r="W15" s="4"/>
      <c r="X15" s="4"/>
      <c r="Y15" s="4"/>
      <c r="Z15" s="4"/>
      <c r="AA15" s="4"/>
      <c r="AB15" s="4"/>
      <c r="AC15" s="4"/>
    </row>
    <row r="16" spans="1:29" ht="42.75">
      <c r="A16" s="22" t="s">
        <v>37</v>
      </c>
      <c r="B16" s="24">
        <f>71040828+96619306</f>
        <v>167660134</v>
      </c>
      <c r="C16" s="23">
        <v>0</v>
      </c>
      <c r="D16" s="24">
        <f t="shared" si="0"/>
        <v>167660134</v>
      </c>
      <c r="E16" s="24">
        <f>71040828+96619306</f>
        <v>167660134</v>
      </c>
      <c r="F16" s="23">
        <v>0</v>
      </c>
      <c r="G16" s="24">
        <f t="shared" si="3"/>
        <v>167660134</v>
      </c>
      <c r="H16" s="24">
        <f>88689401.44+120622304.93</f>
        <v>209311706.37</v>
      </c>
      <c r="I16" s="23"/>
      <c r="J16" s="24">
        <f t="shared" si="4"/>
        <v>209311706.37</v>
      </c>
      <c r="K16" s="38" t="s">
        <v>263</v>
      </c>
      <c r="L16" s="18" t="s">
        <v>221</v>
      </c>
      <c r="M16" s="18"/>
      <c r="N16" s="18"/>
      <c r="O16" s="18"/>
      <c r="P16" s="4"/>
      <c r="Q16" s="4"/>
      <c r="R16" s="4"/>
      <c r="S16" s="4"/>
      <c r="T16" s="4"/>
      <c r="U16" s="4"/>
      <c r="V16" s="4"/>
      <c r="W16" s="4"/>
      <c r="X16" s="4"/>
      <c r="Y16" s="4"/>
      <c r="Z16" s="4"/>
      <c r="AA16" s="4"/>
      <c r="AB16" s="4"/>
      <c r="AC16" s="4"/>
    </row>
    <row r="17" spans="1:29" ht="15.75" customHeight="1">
      <c r="A17" s="44" t="s">
        <v>38</v>
      </c>
      <c r="B17" s="45">
        <f t="shared" ref="B17:E17" si="5">SUM(B4:B16)</f>
        <v>11327660134</v>
      </c>
      <c r="C17" s="45">
        <f t="shared" si="5"/>
        <v>18585000000</v>
      </c>
      <c r="D17" s="45">
        <f t="shared" si="5"/>
        <v>29912660134</v>
      </c>
      <c r="E17" s="45">
        <f t="shared" si="5"/>
        <v>7585485161.4899998</v>
      </c>
      <c r="F17" s="45">
        <f>SUM(F4:F16)+1716913774.52+733260124.99</f>
        <v>22327174972.510002</v>
      </c>
      <c r="G17" s="45">
        <f t="shared" ref="G17:H17" si="6">SUM(G4:G16)</f>
        <v>29912660134</v>
      </c>
      <c r="H17" s="45">
        <f t="shared" si="6"/>
        <v>8536932836.8999996</v>
      </c>
      <c r="I17" s="45">
        <f>SUM(I4:I16)+1796507458.05+771122599.53</f>
        <v>27373430363.419994</v>
      </c>
      <c r="J17" s="45">
        <f>SUM(J4:J16)</f>
        <v>35910363200.32</v>
      </c>
      <c r="K17" s="46"/>
      <c r="L17" s="18" t="s">
        <v>221</v>
      </c>
      <c r="M17" s="48"/>
      <c r="N17" s="48"/>
      <c r="O17" s="71"/>
      <c r="P17" s="50"/>
      <c r="Q17" s="50"/>
      <c r="R17" s="50"/>
      <c r="S17" s="50"/>
      <c r="T17" s="50"/>
      <c r="U17" s="50"/>
      <c r="V17" s="50"/>
      <c r="W17" s="50"/>
      <c r="X17" s="50"/>
      <c r="Y17" s="50"/>
      <c r="Z17" s="50"/>
      <c r="AA17" s="50"/>
      <c r="AB17" s="50"/>
      <c r="AC17" s="50"/>
    </row>
    <row r="18" spans="1:29"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8" t="s">
        <v>221</v>
      </c>
      <c r="M18" s="18"/>
      <c r="N18" s="18"/>
      <c r="O18" s="18"/>
      <c r="P18" s="4"/>
      <c r="Q18" s="4"/>
      <c r="R18" s="4"/>
      <c r="S18" s="4"/>
      <c r="T18" s="4"/>
      <c r="U18" s="4"/>
      <c r="V18" s="4"/>
      <c r="W18" s="4"/>
      <c r="X18" s="4"/>
      <c r="Y18" s="4"/>
      <c r="Z18" s="4"/>
      <c r="AA18" s="4"/>
      <c r="AB18" s="4"/>
      <c r="AC18" s="4"/>
    </row>
    <row r="19" spans="1:29"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8" t="s">
        <v>221</v>
      </c>
      <c r="M19" s="18"/>
      <c r="N19" s="18"/>
      <c r="O19" s="18"/>
      <c r="P19" s="4"/>
      <c r="Q19" s="4"/>
      <c r="R19" s="4"/>
      <c r="S19" s="4"/>
      <c r="T19" s="4"/>
      <c r="U19" s="4"/>
      <c r="V19" s="4"/>
      <c r="W19" s="4"/>
      <c r="X19" s="4"/>
      <c r="Y19" s="4"/>
      <c r="Z19" s="4"/>
      <c r="AA19" s="4"/>
      <c r="AB19" s="4"/>
      <c r="AC19" s="4"/>
    </row>
    <row r="20" spans="1:29"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8" t="s">
        <v>221</v>
      </c>
      <c r="M20" s="18"/>
      <c r="N20" s="18"/>
      <c r="O20" s="18"/>
      <c r="P20" s="4"/>
      <c r="Q20" s="4"/>
      <c r="R20" s="4"/>
      <c r="S20" s="4"/>
      <c r="T20" s="4"/>
      <c r="U20" s="4"/>
      <c r="V20" s="4"/>
      <c r="W20" s="4"/>
      <c r="X20" s="4"/>
      <c r="Y20" s="4"/>
      <c r="Z20" s="4"/>
      <c r="AA20" s="4"/>
      <c r="AB20" s="4"/>
      <c r="AC20" s="4"/>
    </row>
    <row r="21" spans="1:29"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8" t="s">
        <v>221</v>
      </c>
      <c r="M21" s="18"/>
      <c r="N21" s="18"/>
      <c r="O21" s="18"/>
      <c r="P21" s="4"/>
      <c r="Q21" s="4"/>
      <c r="R21" s="4"/>
      <c r="S21" s="4"/>
      <c r="T21" s="4"/>
      <c r="U21" s="4"/>
      <c r="V21" s="4"/>
      <c r="W21" s="4"/>
      <c r="X21" s="4"/>
      <c r="Y21" s="4"/>
      <c r="Z21" s="4"/>
      <c r="AA21" s="4"/>
      <c r="AB21" s="4"/>
      <c r="AC21" s="4"/>
    </row>
    <row r="22" spans="1:29"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8" t="s">
        <v>221</v>
      </c>
      <c r="M22" s="48"/>
      <c r="N22" s="48"/>
      <c r="O22" s="48"/>
      <c r="P22" s="50"/>
      <c r="Q22" s="50"/>
      <c r="R22" s="50"/>
      <c r="S22" s="50"/>
      <c r="T22" s="50"/>
      <c r="U22" s="50"/>
      <c r="V22" s="50"/>
      <c r="W22" s="50"/>
      <c r="X22" s="50"/>
      <c r="Y22" s="50"/>
      <c r="Z22" s="50"/>
      <c r="AA22" s="50"/>
      <c r="AB22" s="50"/>
      <c r="AC22" s="50"/>
    </row>
    <row r="23" spans="1:29" ht="15.75" customHeight="1">
      <c r="A23" s="72" t="s">
        <v>45</v>
      </c>
      <c r="B23" s="73">
        <f t="shared" ref="B23:J23" si="11">B17+B22</f>
        <v>17494715379</v>
      </c>
      <c r="C23" s="73">
        <f t="shared" si="11"/>
        <v>20195051950</v>
      </c>
      <c r="D23" s="73">
        <f t="shared" si="11"/>
        <v>37689767329</v>
      </c>
      <c r="E23" s="73">
        <f t="shared" si="11"/>
        <v>13752540406.49</v>
      </c>
      <c r="F23" s="73">
        <f t="shared" si="11"/>
        <v>23937226922.510002</v>
      </c>
      <c r="G23" s="73">
        <f t="shared" si="11"/>
        <v>37689767329</v>
      </c>
      <c r="H23" s="73">
        <f t="shared" si="11"/>
        <v>14703988081.9</v>
      </c>
      <c r="I23" s="73">
        <f t="shared" si="11"/>
        <v>28983482313.419994</v>
      </c>
      <c r="J23" s="73">
        <f t="shared" si="11"/>
        <v>43687470395.32</v>
      </c>
      <c r="K23" s="24"/>
      <c r="L23" s="18" t="s">
        <v>221</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5" t="s">
        <v>0</v>
      </c>
      <c r="B2" s="157" t="s">
        <v>1</v>
      </c>
      <c r="C2" s="158"/>
      <c r="D2" s="159"/>
      <c r="E2" s="157" t="s">
        <v>265</v>
      </c>
      <c r="F2" s="158"/>
      <c r="G2" s="159"/>
      <c r="H2" s="160" t="s">
        <v>266</v>
      </c>
      <c r="I2" s="158"/>
      <c r="J2" s="159"/>
      <c r="K2" s="161" t="s">
        <v>4</v>
      </c>
      <c r="L2" s="162" t="s">
        <v>48</v>
      </c>
      <c r="M2" s="2"/>
      <c r="N2" s="2"/>
      <c r="O2" s="2"/>
      <c r="P2" s="2"/>
      <c r="Q2" s="2"/>
      <c r="R2" s="2"/>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8" t="s">
        <v>221</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2000000000+282312603.74+2325834136.37+8387.5+1046000000</f>
        <v>5654155127.6099997</v>
      </c>
      <c r="J5" s="26">
        <f t="shared" si="2"/>
        <v>5654155127.6099997</v>
      </c>
      <c r="K5" s="75" t="s">
        <v>267</v>
      </c>
      <c r="L5" s="18" t="s">
        <v>221</v>
      </c>
      <c r="M5" s="18"/>
      <c r="N5" s="18"/>
      <c r="O5" s="18"/>
      <c r="P5" s="4"/>
      <c r="Q5" s="4"/>
      <c r="R5" s="4"/>
      <c r="S5" s="4"/>
      <c r="T5" s="4"/>
      <c r="U5" s="4"/>
      <c r="V5" s="4"/>
      <c r="W5" s="4"/>
      <c r="X5" s="4"/>
      <c r="Y5" s="4"/>
      <c r="Z5" s="4"/>
      <c r="AA5" s="4"/>
      <c r="AB5" s="4"/>
      <c r="AC5" s="4"/>
    </row>
    <row r="6" spans="1:29" ht="14.25">
      <c r="A6" s="22" t="s">
        <v>12</v>
      </c>
      <c r="B6" s="29">
        <v>2375000000</v>
      </c>
      <c r="C6" s="30">
        <v>125000000</v>
      </c>
      <c r="D6" s="30">
        <f t="shared" si="0"/>
        <v>2500000000</v>
      </c>
      <c r="E6" s="74">
        <v>783086225.48000002</v>
      </c>
      <c r="F6" s="74" t="s">
        <v>260</v>
      </c>
      <c r="G6" s="74">
        <v>2500000000</v>
      </c>
      <c r="H6" s="74">
        <v>1319389639.05</v>
      </c>
      <c r="I6" s="74" t="s">
        <v>268</v>
      </c>
      <c r="J6" s="74">
        <v>3109256326.0300002</v>
      </c>
      <c r="K6" s="74" t="s">
        <v>198</v>
      </c>
      <c r="L6" s="18" t="s">
        <v>269</v>
      </c>
      <c r="M6" s="18"/>
      <c r="N6" s="18"/>
      <c r="O6" s="18"/>
      <c r="P6" s="5"/>
      <c r="Q6" s="5"/>
      <c r="R6" s="5"/>
      <c r="S6" s="5"/>
      <c r="T6" s="5"/>
      <c r="U6" s="5"/>
      <c r="V6" s="5"/>
      <c r="W6" s="5"/>
      <c r="X6" s="5"/>
      <c r="Y6" s="5"/>
      <c r="Z6" s="5"/>
      <c r="AA6" s="5"/>
      <c r="AB6" s="5"/>
      <c r="AC6" s="5"/>
    </row>
    <row r="7" spans="1:29" ht="114">
      <c r="A7" s="22" t="s">
        <v>16</v>
      </c>
      <c r="B7" s="29">
        <v>1500000000</v>
      </c>
      <c r="C7" s="23">
        <v>0</v>
      </c>
      <c r="D7" s="24">
        <f t="shared" si="0"/>
        <v>1500000000</v>
      </c>
      <c r="E7" s="74">
        <v>766739875.00999999</v>
      </c>
      <c r="F7" s="74" t="s">
        <v>200</v>
      </c>
      <c r="G7" s="24">
        <v>1500000000</v>
      </c>
      <c r="H7" s="23">
        <v>1097350369.1099999</v>
      </c>
      <c r="I7" s="74" t="s">
        <v>270</v>
      </c>
      <c r="J7" s="74">
        <v>1865553795.6199999</v>
      </c>
      <c r="K7" s="38" t="s">
        <v>202</v>
      </c>
      <c r="L7" s="18" t="s">
        <v>269</v>
      </c>
      <c r="M7" s="18"/>
      <c r="N7" s="18"/>
      <c r="O7" s="18"/>
      <c r="P7" s="5"/>
      <c r="Q7" s="5"/>
      <c r="R7" s="5"/>
      <c r="S7" s="5"/>
      <c r="T7" s="5"/>
      <c r="U7" s="5"/>
      <c r="V7" s="5"/>
      <c r="W7" s="5"/>
      <c r="X7" s="5"/>
      <c r="Y7" s="5"/>
      <c r="Z7" s="5"/>
      <c r="AA7" s="5"/>
      <c r="AB7" s="5"/>
      <c r="AC7" s="5"/>
    </row>
    <row r="8" spans="1:29"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18" t="s">
        <v>221</v>
      </c>
      <c r="M8" s="18"/>
      <c r="N8" s="18"/>
      <c r="O8" s="18"/>
      <c r="P8" s="4"/>
      <c r="Q8" s="4"/>
      <c r="R8" s="4"/>
      <c r="S8" s="4"/>
      <c r="T8" s="4"/>
      <c r="U8" s="4"/>
      <c r="V8" s="4"/>
      <c r="W8" s="4"/>
      <c r="X8" s="4"/>
      <c r="Y8" s="4"/>
      <c r="Z8" s="4"/>
      <c r="AA8" s="4"/>
      <c r="AB8" s="4"/>
      <c r="AC8" s="4"/>
    </row>
    <row r="9" spans="1:29" ht="14.25">
      <c r="A9" s="28" t="s">
        <v>22</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254</v>
      </c>
      <c r="L9" s="18" t="s">
        <v>221</v>
      </c>
      <c r="M9" s="18"/>
      <c r="N9" s="18"/>
      <c r="O9" s="18"/>
      <c r="P9" s="4"/>
      <c r="Q9" s="4"/>
      <c r="R9" s="4"/>
      <c r="S9" s="4"/>
      <c r="T9" s="4"/>
      <c r="U9" s="4"/>
      <c r="V9" s="4"/>
      <c r="W9" s="4"/>
      <c r="X9" s="4"/>
      <c r="Y9" s="4"/>
      <c r="Z9" s="4"/>
      <c r="AA9" s="4"/>
      <c r="AB9" s="4"/>
      <c r="AC9" s="4"/>
    </row>
    <row r="10" spans="1:29" ht="71.25">
      <c r="A10" s="22" t="s">
        <v>24</v>
      </c>
      <c r="B10" s="23">
        <v>0</v>
      </c>
      <c r="C10" s="23">
        <v>2050000000</v>
      </c>
      <c r="D10" s="24">
        <f t="shared" si="0"/>
        <v>2050000000</v>
      </c>
      <c r="E10" s="23">
        <v>0</v>
      </c>
      <c r="F10" s="23">
        <v>2050000000</v>
      </c>
      <c r="G10" s="24">
        <f t="shared" si="3"/>
        <v>2050000000</v>
      </c>
      <c r="H10" s="23">
        <v>0</v>
      </c>
      <c r="I10" s="23">
        <v>2911007193.2600002</v>
      </c>
      <c r="J10" s="24">
        <f t="shared" si="4"/>
        <v>2911007193.2600002</v>
      </c>
      <c r="K10" s="38" t="s">
        <v>149</v>
      </c>
      <c r="L10" s="18" t="s">
        <v>221</v>
      </c>
      <c r="M10" s="18"/>
      <c r="N10" s="18"/>
      <c r="O10" s="18"/>
      <c r="P10" s="4"/>
      <c r="Q10" s="4"/>
      <c r="R10" s="4"/>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3609759422.38+(5*518269874.82)</f>
        <v>6201108796.4799995</v>
      </c>
      <c r="J11" s="24">
        <f t="shared" si="4"/>
        <v>6201108796.4799995</v>
      </c>
      <c r="K11" s="38" t="s">
        <v>151</v>
      </c>
      <c r="L11" s="18" t="s">
        <v>221</v>
      </c>
      <c r="M11" s="18"/>
      <c r="N11" s="18"/>
      <c r="O11" s="18"/>
      <c r="P11" s="4"/>
      <c r="Q11" s="4"/>
      <c r="R11" s="4"/>
      <c r="S11" s="4"/>
      <c r="T11" s="4"/>
      <c r="U11" s="4"/>
      <c r="V11" s="4"/>
      <c r="W11" s="4"/>
      <c r="X11" s="4"/>
      <c r="Y11" s="4"/>
      <c r="Z11" s="4"/>
      <c r="AA11" s="4"/>
      <c r="AB11" s="4"/>
      <c r="AC11" s="4"/>
    </row>
    <row r="12" spans="1:29" ht="71.25">
      <c r="A12" s="22" t="s">
        <v>28</v>
      </c>
      <c r="B12" s="23">
        <v>0</v>
      </c>
      <c r="C12" s="23">
        <v>3650000000</v>
      </c>
      <c r="D12" s="24">
        <f t="shared" si="0"/>
        <v>3650000000</v>
      </c>
      <c r="E12" s="23">
        <v>0</v>
      </c>
      <c r="F12" s="23">
        <v>3650000000</v>
      </c>
      <c r="G12" s="24">
        <f t="shared" si="3"/>
        <v>3650000000</v>
      </c>
      <c r="H12" s="23">
        <v>0</v>
      </c>
      <c r="I12" s="23">
        <v>4494053686.8699999</v>
      </c>
      <c r="J12" s="24">
        <f t="shared" si="4"/>
        <v>4494053686.8699999</v>
      </c>
      <c r="K12" s="38" t="s">
        <v>152</v>
      </c>
      <c r="L12" s="18" t="s">
        <v>221</v>
      </c>
      <c r="M12" s="18"/>
      <c r="N12" s="18"/>
      <c r="O12" s="18"/>
      <c r="P12" s="4"/>
      <c r="Q12" s="4"/>
      <c r="R12" s="4"/>
      <c r="S12" s="4"/>
      <c r="T12" s="4"/>
      <c r="U12" s="4"/>
      <c r="V12" s="4"/>
      <c r="W12" s="4"/>
      <c r="X12" s="4"/>
      <c r="Y12" s="4"/>
      <c r="Z12" s="4"/>
      <c r="AA12" s="4"/>
      <c r="AB12" s="4"/>
      <c r="AC12" s="4"/>
    </row>
    <row r="13" spans="1:29" ht="42.75">
      <c r="A13" s="22" t="s">
        <v>29</v>
      </c>
      <c r="B13" s="24">
        <v>135000000</v>
      </c>
      <c r="C13" s="23">
        <v>0</v>
      </c>
      <c r="D13" s="24">
        <f t="shared" si="0"/>
        <v>135000000</v>
      </c>
      <c r="E13" s="23">
        <v>135000000</v>
      </c>
      <c r="F13" s="23">
        <v>0</v>
      </c>
      <c r="G13" s="24">
        <f t="shared" si="3"/>
        <v>135000000</v>
      </c>
      <c r="H13" s="23">
        <v>167899841.61000001</v>
      </c>
      <c r="I13" s="23">
        <v>0</v>
      </c>
      <c r="J13" s="24">
        <f t="shared" si="4"/>
        <v>167899841.61000001</v>
      </c>
      <c r="K13" s="38" t="s">
        <v>271</v>
      </c>
      <c r="L13" s="18" t="s">
        <v>221</v>
      </c>
      <c r="M13" s="18"/>
      <c r="N13" s="18"/>
      <c r="O13" s="18"/>
      <c r="P13" s="4"/>
      <c r="Q13" s="4"/>
      <c r="R13" s="4"/>
      <c r="S13" s="4"/>
      <c r="T13" s="4"/>
      <c r="U13" s="4"/>
      <c r="V13" s="4"/>
      <c r="W13" s="4"/>
      <c r="X13" s="4"/>
      <c r="Y13" s="4"/>
      <c r="Z13" s="4"/>
      <c r="AA13" s="4"/>
      <c r="AB13" s="4"/>
      <c r="AC13" s="4"/>
    </row>
    <row r="14" spans="1:29" ht="71.25">
      <c r="A14" s="22" t="s">
        <v>31</v>
      </c>
      <c r="B14" s="23">
        <v>0</v>
      </c>
      <c r="C14" s="23">
        <v>310000000</v>
      </c>
      <c r="D14" s="24">
        <f t="shared" si="0"/>
        <v>310000000</v>
      </c>
      <c r="E14" s="23">
        <v>0</v>
      </c>
      <c r="F14" s="23">
        <v>310000000</v>
      </c>
      <c r="G14" s="24">
        <f t="shared" si="3"/>
        <v>310000000</v>
      </c>
      <c r="H14" s="23">
        <v>0</v>
      </c>
      <c r="I14" s="84">
        <v>436289788.41000003</v>
      </c>
      <c r="J14" s="24">
        <f t="shared" si="4"/>
        <v>436289788.41000003</v>
      </c>
      <c r="K14" s="38" t="s">
        <v>152</v>
      </c>
      <c r="L14" s="18" t="s">
        <v>221</v>
      </c>
      <c r="M14" s="18"/>
      <c r="N14" s="18"/>
      <c r="O14" s="18"/>
      <c r="P14" s="4"/>
      <c r="Q14" s="4"/>
      <c r="R14" s="4"/>
      <c r="S14" s="4"/>
      <c r="T14" s="4"/>
      <c r="U14" s="4"/>
      <c r="V14" s="4"/>
      <c r="W14" s="4"/>
      <c r="X14" s="4"/>
      <c r="Y14" s="4"/>
      <c r="Z14" s="4"/>
      <c r="AA14" s="4"/>
      <c r="AB14" s="4"/>
      <c r="AC14" s="4"/>
    </row>
    <row r="15" spans="1:29"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272</v>
      </c>
      <c r="L15" s="18" t="s">
        <v>221</v>
      </c>
      <c r="M15" s="18"/>
      <c r="N15" s="18"/>
      <c r="O15" s="18"/>
      <c r="P15" s="4"/>
      <c r="Q15" s="4"/>
      <c r="R15" s="4"/>
      <c r="S15" s="4"/>
      <c r="T15" s="4"/>
      <c r="U15" s="4"/>
      <c r="V15" s="4"/>
      <c r="W15" s="4"/>
      <c r="X15" s="4"/>
      <c r="Y15" s="4"/>
      <c r="Z15" s="4"/>
      <c r="AA15" s="4"/>
      <c r="AB15" s="4"/>
      <c r="AC15" s="4"/>
    </row>
    <row r="16" spans="1:29" ht="42.75">
      <c r="A16" s="22" t="s">
        <v>37</v>
      </c>
      <c r="B16" s="24">
        <f>71040828+96619306</f>
        <v>167660134</v>
      </c>
      <c r="C16" s="23">
        <v>0</v>
      </c>
      <c r="D16" s="24">
        <f t="shared" si="0"/>
        <v>167660134</v>
      </c>
      <c r="E16" s="24">
        <f>71040828+96619306</f>
        <v>167660134</v>
      </c>
      <c r="F16" s="23">
        <v>0</v>
      </c>
      <c r="G16" s="24">
        <f t="shared" si="3"/>
        <v>167660134</v>
      </c>
      <c r="H16" s="24">
        <f>88353657.55+120165675.36</f>
        <v>208519332.91</v>
      </c>
      <c r="I16" s="23"/>
      <c r="J16" s="24">
        <f t="shared" si="4"/>
        <v>208519332.91</v>
      </c>
      <c r="K16" s="38" t="s">
        <v>271</v>
      </c>
      <c r="L16" s="18" t="s">
        <v>221</v>
      </c>
      <c r="M16" s="18"/>
      <c r="N16" s="18"/>
      <c r="O16" s="18"/>
      <c r="P16" s="4"/>
      <c r="Q16" s="4"/>
      <c r="R16" s="4"/>
      <c r="S16" s="4"/>
      <c r="T16" s="4"/>
      <c r="U16" s="4"/>
      <c r="V16" s="4"/>
      <c r="W16" s="4"/>
      <c r="X16" s="4"/>
      <c r="Y16" s="4"/>
      <c r="Z16" s="4"/>
      <c r="AA16" s="4"/>
      <c r="AB16" s="4"/>
      <c r="AC16" s="4"/>
    </row>
    <row r="17" spans="1:29" ht="15.75" customHeight="1">
      <c r="A17" s="44" t="s">
        <v>38</v>
      </c>
      <c r="B17" s="45">
        <f t="shared" ref="B17:E17" si="5">SUM(B4:B16)</f>
        <v>11327660134</v>
      </c>
      <c r="C17" s="45">
        <f t="shared" si="5"/>
        <v>18585000000</v>
      </c>
      <c r="D17" s="45">
        <f t="shared" si="5"/>
        <v>29912660134</v>
      </c>
      <c r="E17" s="45">
        <f t="shared" si="5"/>
        <v>7585485161.4899998</v>
      </c>
      <c r="F17" s="45">
        <f>SUM(F4:F16)+1716913774.52+733260124.99</f>
        <v>22327174972.510002</v>
      </c>
      <c r="G17" s="45">
        <f t="shared" ref="G17:H17" si="6">SUM(G4:G16)</f>
        <v>29912660134</v>
      </c>
      <c r="H17" s="45">
        <f t="shared" si="6"/>
        <v>8526158109.6799994</v>
      </c>
      <c r="I17" s="45">
        <f>SUM(I4:I16)+1789866686.99+768203426.51</f>
        <v>27272777012.199997</v>
      </c>
      <c r="J17" s="45">
        <f>SUM(J4:J16)</f>
        <v>35798935121.87001</v>
      </c>
      <c r="K17" s="46"/>
      <c r="L17" s="18" t="s">
        <v>221</v>
      </c>
      <c r="M17" s="48"/>
      <c r="N17" s="85">
        <f>F17-C17</f>
        <v>3742174972.5100021</v>
      </c>
      <c r="O17" s="71">
        <f>N17/(G17-5000000000)</f>
        <v>0.15021177796275564</v>
      </c>
      <c r="P17" s="50"/>
      <c r="Q17" s="50"/>
      <c r="R17" s="50"/>
      <c r="S17" s="50"/>
      <c r="T17" s="50"/>
      <c r="U17" s="50"/>
      <c r="V17" s="50"/>
      <c r="W17" s="50"/>
      <c r="X17" s="50"/>
      <c r="Y17" s="50"/>
      <c r="Z17" s="50"/>
      <c r="AA17" s="50"/>
      <c r="AB17" s="50"/>
      <c r="AC17" s="50"/>
    </row>
    <row r="18" spans="1:29"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8" t="s">
        <v>221</v>
      </c>
      <c r="M18" s="18"/>
      <c r="N18" s="18"/>
      <c r="O18" s="18"/>
      <c r="P18" s="4"/>
      <c r="Q18" s="4"/>
      <c r="R18" s="4"/>
      <c r="S18" s="4"/>
      <c r="T18" s="4"/>
      <c r="U18" s="4"/>
      <c r="V18" s="4"/>
      <c r="W18" s="4"/>
      <c r="X18" s="4"/>
      <c r="Y18" s="4"/>
      <c r="Z18" s="4"/>
      <c r="AA18" s="4"/>
      <c r="AB18" s="4"/>
      <c r="AC18" s="4"/>
    </row>
    <row r="19" spans="1:29"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8" t="s">
        <v>221</v>
      </c>
      <c r="M19" s="18"/>
      <c r="N19" s="18"/>
      <c r="O19" s="18"/>
      <c r="P19" s="4"/>
      <c r="Q19" s="4"/>
      <c r="R19" s="4"/>
      <c r="S19" s="4"/>
      <c r="T19" s="4"/>
      <c r="U19" s="4"/>
      <c r="V19" s="4"/>
      <c r="W19" s="4"/>
      <c r="X19" s="4"/>
      <c r="Y19" s="4"/>
      <c r="Z19" s="4"/>
      <c r="AA19" s="4"/>
      <c r="AB19" s="4"/>
      <c r="AC19" s="4"/>
    </row>
    <row r="20" spans="1:29"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8" t="s">
        <v>221</v>
      </c>
      <c r="M20" s="18"/>
      <c r="N20" s="18"/>
      <c r="O20" s="18"/>
      <c r="P20" s="4"/>
      <c r="Q20" s="4"/>
      <c r="R20" s="4"/>
      <c r="S20" s="4"/>
      <c r="T20" s="4"/>
      <c r="U20" s="4"/>
      <c r="V20" s="4"/>
      <c r="W20" s="4"/>
      <c r="X20" s="4"/>
      <c r="Y20" s="4"/>
      <c r="Z20" s="4"/>
      <c r="AA20" s="4"/>
      <c r="AB20" s="4"/>
      <c r="AC20" s="4"/>
    </row>
    <row r="21" spans="1:29"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8" t="s">
        <v>221</v>
      </c>
      <c r="M21" s="18"/>
      <c r="N21" s="18"/>
      <c r="O21" s="18"/>
      <c r="P21" s="4"/>
      <c r="Q21" s="4"/>
      <c r="R21" s="4"/>
      <c r="S21" s="4"/>
      <c r="T21" s="4"/>
      <c r="U21" s="4"/>
      <c r="V21" s="4"/>
      <c r="W21" s="4"/>
      <c r="X21" s="4"/>
      <c r="Y21" s="4"/>
      <c r="Z21" s="4"/>
      <c r="AA21" s="4"/>
      <c r="AB21" s="4"/>
      <c r="AC21" s="4"/>
    </row>
    <row r="22" spans="1:29"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8" t="s">
        <v>221</v>
      </c>
      <c r="M22" s="48"/>
      <c r="N22" s="48"/>
      <c r="O22" s="48"/>
      <c r="P22" s="50"/>
      <c r="Q22" s="50"/>
      <c r="R22" s="50"/>
      <c r="S22" s="50"/>
      <c r="T22" s="50"/>
      <c r="U22" s="50"/>
      <c r="V22" s="50"/>
      <c r="W22" s="50"/>
      <c r="X22" s="50"/>
      <c r="Y22" s="50"/>
      <c r="Z22" s="50"/>
      <c r="AA22" s="50"/>
      <c r="AB22" s="50"/>
      <c r="AC22" s="50"/>
    </row>
    <row r="23" spans="1:29" ht="15.75" customHeight="1">
      <c r="A23" s="72" t="s">
        <v>45</v>
      </c>
      <c r="B23" s="73">
        <f t="shared" ref="B23:J23" si="11">B17+B22</f>
        <v>17494715379</v>
      </c>
      <c r="C23" s="73">
        <f t="shared" si="11"/>
        <v>20195051950</v>
      </c>
      <c r="D23" s="73">
        <f t="shared" si="11"/>
        <v>37689767329</v>
      </c>
      <c r="E23" s="73">
        <f t="shared" si="11"/>
        <v>13752540406.49</v>
      </c>
      <c r="F23" s="73">
        <f t="shared" si="11"/>
        <v>23937226922.510002</v>
      </c>
      <c r="G23" s="73">
        <f t="shared" si="11"/>
        <v>37689767329</v>
      </c>
      <c r="H23" s="73">
        <f t="shared" si="11"/>
        <v>14693213354.68</v>
      </c>
      <c r="I23" s="73">
        <f t="shared" si="11"/>
        <v>28882828962.199997</v>
      </c>
      <c r="J23" s="73">
        <f t="shared" si="11"/>
        <v>43576042316.87001</v>
      </c>
      <c r="K23" s="24"/>
      <c r="L23" s="18" t="s">
        <v>221</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5" t="s">
        <v>0</v>
      </c>
      <c r="B2" s="157" t="s">
        <v>1</v>
      </c>
      <c r="C2" s="158"/>
      <c r="D2" s="159"/>
      <c r="E2" s="157" t="s">
        <v>273</v>
      </c>
      <c r="F2" s="158"/>
      <c r="G2" s="159"/>
      <c r="H2" s="160" t="s">
        <v>274</v>
      </c>
      <c r="I2" s="158"/>
      <c r="J2" s="159"/>
      <c r="K2" s="161" t="s">
        <v>4</v>
      </c>
      <c r="L2" s="162" t="s">
        <v>48</v>
      </c>
      <c r="M2" s="2"/>
      <c r="N2" s="2"/>
      <c r="O2" s="2"/>
      <c r="P2" s="2"/>
      <c r="Q2" s="2"/>
      <c r="R2" s="2"/>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86"/>
      <c r="M4" s="87"/>
      <c r="N4" s="87"/>
      <c r="O4" s="87"/>
      <c r="P4" s="87"/>
      <c r="Q4" s="87"/>
      <c r="R4" s="87"/>
      <c r="S4" s="87"/>
      <c r="T4" s="87"/>
      <c r="U4" s="87"/>
      <c r="V4" s="87"/>
      <c r="W4" s="87"/>
      <c r="X4" s="87"/>
      <c r="Y4" s="87"/>
      <c r="Z4" s="87"/>
      <c r="AA4" s="87"/>
      <c r="AB4" s="87"/>
      <c r="AC4" s="87"/>
    </row>
    <row r="5" spans="1:29">
      <c r="A5" s="22" t="s">
        <v>10</v>
      </c>
      <c r="B5" s="23">
        <v>0</v>
      </c>
      <c r="C5" s="24">
        <v>4400000000</v>
      </c>
      <c r="D5" s="24">
        <f t="shared" si="0"/>
        <v>4400000000</v>
      </c>
      <c r="E5" s="25">
        <v>0</v>
      </c>
      <c r="F5" s="26">
        <v>4400000000</v>
      </c>
      <c r="G5" s="26">
        <f t="shared" si="1"/>
        <v>4400000000</v>
      </c>
      <c r="H5" s="26">
        <v>0</v>
      </c>
      <c r="I5" s="26">
        <f>2000000000+282312603.74+2325834136.37+8387.5+1000000000</f>
        <v>5608155127.6099997</v>
      </c>
      <c r="J5" s="26">
        <f t="shared" si="2"/>
        <v>5608155127.6099997</v>
      </c>
      <c r="K5" s="75" t="s">
        <v>275</v>
      </c>
      <c r="L5" s="88"/>
      <c r="M5" s="89"/>
      <c r="N5" s="89"/>
      <c r="O5" s="89"/>
      <c r="P5" s="89"/>
      <c r="Q5" s="89"/>
      <c r="R5" s="89"/>
      <c r="S5" s="89"/>
      <c r="T5" s="89"/>
      <c r="U5" s="89"/>
      <c r="V5" s="89"/>
      <c r="W5" s="89"/>
      <c r="X5" s="89"/>
      <c r="Y5" s="89"/>
      <c r="Z5" s="89"/>
      <c r="AA5" s="89"/>
      <c r="AB5" s="89"/>
      <c r="AC5" s="89"/>
    </row>
    <row r="6" spans="1:29" ht="14.25">
      <c r="A6" s="22" t="s">
        <v>12</v>
      </c>
      <c r="B6" s="29">
        <v>2375000000</v>
      </c>
      <c r="C6" s="30">
        <v>125000000</v>
      </c>
      <c r="D6" s="30">
        <f t="shared" si="0"/>
        <v>2500000000</v>
      </c>
      <c r="E6" s="74">
        <v>821544941.95000005</v>
      </c>
      <c r="F6" s="74" t="s">
        <v>276</v>
      </c>
      <c r="G6" s="74">
        <v>2500000000</v>
      </c>
      <c r="H6" s="74">
        <v>1358566415.8699999</v>
      </c>
      <c r="I6" s="74" t="s">
        <v>277</v>
      </c>
      <c r="J6" s="74">
        <v>3102740570.8299999</v>
      </c>
      <c r="K6" s="74" t="s">
        <v>198</v>
      </c>
      <c r="L6" s="88"/>
      <c r="M6" s="88"/>
      <c r="N6" s="88"/>
      <c r="O6" s="88"/>
      <c r="P6" s="88"/>
      <c r="Q6" s="88"/>
      <c r="R6" s="88"/>
      <c r="S6" s="88"/>
      <c r="T6" s="88"/>
      <c r="U6" s="88"/>
      <c r="V6" s="88"/>
      <c r="W6" s="88"/>
      <c r="X6" s="88"/>
      <c r="Y6" s="88"/>
      <c r="Z6" s="88"/>
      <c r="AA6" s="88"/>
      <c r="AB6" s="88"/>
      <c r="AC6" s="88"/>
    </row>
    <row r="7" spans="1:29" ht="114">
      <c r="A7" s="22" t="s">
        <v>16</v>
      </c>
      <c r="B7" s="29">
        <v>1500000000</v>
      </c>
      <c r="C7" s="23">
        <v>0</v>
      </c>
      <c r="D7" s="24">
        <f t="shared" si="0"/>
        <v>1500000000</v>
      </c>
      <c r="E7" s="74">
        <v>766739875.00999999</v>
      </c>
      <c r="F7" s="74" t="s">
        <v>200</v>
      </c>
      <c r="G7" s="24">
        <v>1500000000</v>
      </c>
      <c r="H7" s="23">
        <v>1095050762.51</v>
      </c>
      <c r="I7" s="74" t="s">
        <v>278</v>
      </c>
      <c r="J7" s="74">
        <v>1861644342.5</v>
      </c>
      <c r="K7" s="38" t="s">
        <v>202</v>
      </c>
      <c r="L7" s="88"/>
      <c r="M7" s="88"/>
      <c r="N7" s="88"/>
      <c r="O7" s="88"/>
      <c r="P7" s="88"/>
      <c r="Q7" s="88"/>
      <c r="R7" s="88"/>
      <c r="S7" s="88"/>
      <c r="T7" s="88"/>
      <c r="U7" s="88"/>
      <c r="V7" s="88"/>
      <c r="W7" s="88"/>
      <c r="X7" s="88"/>
      <c r="Y7" s="88"/>
      <c r="Z7" s="88"/>
      <c r="AA7" s="88"/>
      <c r="AB7" s="88"/>
      <c r="AC7" s="88"/>
    </row>
    <row r="8" spans="1:29"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86"/>
      <c r="M8" s="87"/>
      <c r="N8" s="87"/>
      <c r="O8" s="87"/>
      <c r="P8" s="87"/>
      <c r="Q8" s="87"/>
      <c r="R8" s="87"/>
      <c r="S8" s="87"/>
      <c r="T8" s="87"/>
      <c r="U8" s="87"/>
      <c r="V8" s="87"/>
      <c r="W8" s="87"/>
      <c r="X8" s="87"/>
      <c r="Y8" s="87"/>
      <c r="Z8" s="87"/>
      <c r="AA8" s="87"/>
      <c r="AB8" s="87"/>
      <c r="AC8" s="87"/>
    </row>
    <row r="9" spans="1:29" ht="14.25">
      <c r="A9" s="28" t="s">
        <v>22</v>
      </c>
      <c r="B9" s="23">
        <v>1550000000</v>
      </c>
      <c r="C9" s="23">
        <v>0</v>
      </c>
      <c r="D9" s="24">
        <f t="shared" si="0"/>
        <v>1550000000</v>
      </c>
      <c r="E9" s="23">
        <f>1550000000-1417001073</f>
        <v>132998927</v>
      </c>
      <c r="F9" s="23">
        <v>1417001073</v>
      </c>
      <c r="G9" s="24">
        <f t="shared" si="3"/>
        <v>1550000000</v>
      </c>
      <c r="H9" s="23">
        <v>132998927</v>
      </c>
      <c r="I9" s="23">
        <v>1417001073</v>
      </c>
      <c r="J9" s="24">
        <f t="shared" si="4"/>
        <v>1550000000</v>
      </c>
      <c r="K9" s="38" t="s">
        <v>279</v>
      </c>
      <c r="L9" s="88"/>
      <c r="M9" s="90"/>
      <c r="N9" s="90"/>
      <c r="O9" s="90"/>
      <c r="P9" s="90"/>
      <c r="Q9" s="90"/>
      <c r="R9" s="90"/>
      <c r="S9" s="90"/>
      <c r="T9" s="90"/>
      <c r="U9" s="90"/>
      <c r="V9" s="90"/>
      <c r="W9" s="90"/>
      <c r="X9" s="90"/>
      <c r="Y9" s="90"/>
      <c r="Z9" s="90"/>
      <c r="AA9" s="90"/>
      <c r="AB9" s="90"/>
      <c r="AC9" s="90"/>
    </row>
    <row r="10" spans="1:29" ht="71.25">
      <c r="A10" s="22" t="s">
        <v>24</v>
      </c>
      <c r="B10" s="23">
        <v>0</v>
      </c>
      <c r="C10" s="23">
        <v>2050000000</v>
      </c>
      <c r="D10" s="24">
        <f t="shared" si="0"/>
        <v>2050000000</v>
      </c>
      <c r="E10" s="23">
        <v>0</v>
      </c>
      <c r="F10" s="23">
        <v>2050000000</v>
      </c>
      <c r="G10" s="24">
        <f t="shared" si="3"/>
        <v>2050000000</v>
      </c>
      <c r="H10" s="23">
        <v>0</v>
      </c>
      <c r="I10" s="23">
        <v>2888668866.77</v>
      </c>
      <c r="J10" s="24">
        <f t="shared" si="4"/>
        <v>2888668866.77</v>
      </c>
      <c r="K10" s="38" t="s">
        <v>149</v>
      </c>
      <c r="L10" s="88"/>
      <c r="M10" s="89"/>
      <c r="N10" s="89"/>
      <c r="O10" s="89"/>
      <c r="P10" s="89"/>
      <c r="Q10" s="89"/>
      <c r="R10" s="89"/>
      <c r="S10" s="89"/>
      <c r="T10" s="89"/>
      <c r="U10" s="89"/>
      <c r="V10" s="89"/>
      <c r="W10" s="89"/>
      <c r="X10" s="89"/>
      <c r="Y10" s="89"/>
      <c r="Z10" s="89"/>
      <c r="AA10" s="89"/>
      <c r="AB10" s="89"/>
      <c r="AC10" s="89"/>
    </row>
    <row r="11" spans="1:29" ht="143.25" customHeight="1">
      <c r="A11" s="22" t="s">
        <v>26</v>
      </c>
      <c r="B11" s="23">
        <v>0</v>
      </c>
      <c r="C11" s="23">
        <v>4950000000</v>
      </c>
      <c r="D11" s="24">
        <f t="shared" si="0"/>
        <v>4950000000</v>
      </c>
      <c r="E11" s="23">
        <v>0</v>
      </c>
      <c r="F11" s="23">
        <v>4950000000</v>
      </c>
      <c r="G11" s="24">
        <f t="shared" si="3"/>
        <v>4950000000</v>
      </c>
      <c r="H11" s="23">
        <v>0</v>
      </c>
      <c r="I11" s="23">
        <f>2088665531+466567243.45+1042123007.03+(5*518269874.82)</f>
        <v>6188705155.5799999</v>
      </c>
      <c r="J11" s="24">
        <f t="shared" si="4"/>
        <v>6188705155.5799999</v>
      </c>
      <c r="K11" s="38" t="s">
        <v>151</v>
      </c>
      <c r="L11" s="88"/>
      <c r="M11" s="89"/>
      <c r="N11" s="89"/>
      <c r="O11" s="89"/>
      <c r="P11" s="89"/>
      <c r="Q11" s="89"/>
      <c r="R11" s="89"/>
      <c r="S11" s="89"/>
      <c r="T11" s="89"/>
      <c r="U11" s="89"/>
      <c r="V11" s="89"/>
      <c r="W11" s="89"/>
      <c r="X11" s="89"/>
      <c r="Y11" s="89"/>
      <c r="Z11" s="89"/>
      <c r="AA11" s="89"/>
      <c r="AB11" s="89"/>
      <c r="AC11" s="89"/>
    </row>
    <row r="12" spans="1:29" ht="71.25">
      <c r="A12" s="22" t="s">
        <v>28</v>
      </c>
      <c r="B12" s="23">
        <v>0</v>
      </c>
      <c r="C12" s="23">
        <v>3650000000</v>
      </c>
      <c r="D12" s="24">
        <f t="shared" si="0"/>
        <v>3650000000</v>
      </c>
      <c r="E12" s="23">
        <v>0</v>
      </c>
      <c r="F12" s="23">
        <v>3650000000</v>
      </c>
      <c r="G12" s="24">
        <f t="shared" si="3"/>
        <v>3650000000</v>
      </c>
      <c r="H12" s="23">
        <v>0</v>
      </c>
      <c r="I12" s="23">
        <v>4474808484.9799995</v>
      </c>
      <c r="J12" s="24">
        <f t="shared" si="4"/>
        <v>4474808484.9799995</v>
      </c>
      <c r="K12" s="38" t="s">
        <v>152</v>
      </c>
      <c r="L12" s="88"/>
      <c r="M12" s="89"/>
      <c r="N12" s="89"/>
      <c r="O12" s="89"/>
      <c r="P12" s="89"/>
      <c r="Q12" s="89"/>
      <c r="R12" s="89"/>
      <c r="S12" s="89"/>
      <c r="T12" s="89"/>
      <c r="U12" s="89"/>
      <c r="V12" s="89"/>
      <c r="W12" s="89"/>
      <c r="X12" s="89"/>
      <c r="Y12" s="89"/>
      <c r="Z12" s="89"/>
      <c r="AA12" s="89"/>
      <c r="AB12" s="89"/>
      <c r="AC12" s="89"/>
    </row>
    <row r="13" spans="1:29" ht="42.75">
      <c r="A13" s="22" t="s">
        <v>29</v>
      </c>
      <c r="B13" s="24">
        <v>135000000</v>
      </c>
      <c r="C13" s="23">
        <v>0</v>
      </c>
      <c r="D13" s="24">
        <f t="shared" si="0"/>
        <v>135000000</v>
      </c>
      <c r="E13" s="23">
        <v>135000000</v>
      </c>
      <c r="F13" s="23">
        <v>0</v>
      </c>
      <c r="G13" s="24">
        <f t="shared" si="3"/>
        <v>135000000</v>
      </c>
      <c r="H13" s="23">
        <v>167547990.83000001</v>
      </c>
      <c r="I13" s="23">
        <v>0</v>
      </c>
      <c r="J13" s="24">
        <f t="shared" si="4"/>
        <v>167547990.83000001</v>
      </c>
      <c r="K13" s="38" t="s">
        <v>280</v>
      </c>
      <c r="L13" s="88"/>
      <c r="M13" s="87"/>
      <c r="N13" s="87"/>
      <c r="O13" s="87"/>
      <c r="P13" s="87"/>
      <c r="Q13" s="87"/>
      <c r="R13" s="87"/>
      <c r="S13" s="87"/>
      <c r="T13" s="87"/>
      <c r="U13" s="87"/>
      <c r="V13" s="87"/>
      <c r="W13" s="87"/>
      <c r="X13" s="87"/>
      <c r="Y13" s="87"/>
      <c r="Z13" s="87"/>
      <c r="AA13" s="87"/>
      <c r="AB13" s="87"/>
      <c r="AC13" s="87"/>
    </row>
    <row r="14" spans="1:29" ht="71.25">
      <c r="A14" s="22" t="s">
        <v>31</v>
      </c>
      <c r="B14" s="23">
        <v>0</v>
      </c>
      <c r="C14" s="23">
        <v>310000000</v>
      </c>
      <c r="D14" s="24">
        <f t="shared" si="0"/>
        <v>310000000</v>
      </c>
      <c r="E14" s="23">
        <v>0</v>
      </c>
      <c r="F14" s="23">
        <v>310000000</v>
      </c>
      <c r="G14" s="24">
        <f t="shared" si="3"/>
        <v>310000000</v>
      </c>
      <c r="H14" s="23">
        <v>0</v>
      </c>
      <c r="I14" s="23">
        <v>433206761.19</v>
      </c>
      <c r="J14" s="24">
        <f t="shared" si="4"/>
        <v>433206761.19</v>
      </c>
      <c r="K14" s="38" t="s">
        <v>152</v>
      </c>
      <c r="L14" s="88"/>
      <c r="M14" s="89"/>
      <c r="N14" s="89"/>
      <c r="O14" s="89"/>
      <c r="P14" s="89"/>
      <c r="Q14" s="89"/>
      <c r="R14" s="89"/>
      <c r="S14" s="89"/>
      <c r="T14" s="89"/>
      <c r="U14" s="89"/>
      <c r="V14" s="89"/>
      <c r="W14" s="89"/>
      <c r="X14" s="89"/>
      <c r="Y14" s="89"/>
      <c r="Z14" s="89"/>
      <c r="AA14" s="89"/>
      <c r="AB14" s="89"/>
      <c r="AC14" s="89"/>
    </row>
    <row r="15" spans="1:29"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281</v>
      </c>
      <c r="L15" s="86"/>
      <c r="M15" s="87"/>
      <c r="N15" s="87"/>
      <c r="O15" s="87"/>
      <c r="P15" s="87"/>
      <c r="Q15" s="87"/>
      <c r="R15" s="87"/>
      <c r="S15" s="87"/>
      <c r="T15" s="87"/>
      <c r="U15" s="87"/>
      <c r="V15" s="87"/>
      <c r="W15" s="87"/>
      <c r="X15" s="87"/>
      <c r="Y15" s="87"/>
      <c r="Z15" s="87"/>
      <c r="AA15" s="87"/>
      <c r="AB15" s="87"/>
      <c r="AC15" s="87"/>
    </row>
    <row r="16" spans="1:29" ht="42.75">
      <c r="A16" s="22" t="s">
        <v>37</v>
      </c>
      <c r="B16" s="24">
        <f>71040828+96619306</f>
        <v>167660134</v>
      </c>
      <c r="C16" s="23">
        <v>0</v>
      </c>
      <c r="D16" s="24">
        <f t="shared" si="0"/>
        <v>167660134</v>
      </c>
      <c r="E16" s="24">
        <f>71040828+96619306</f>
        <v>167660134</v>
      </c>
      <c r="F16" s="23">
        <v>0</v>
      </c>
      <c r="G16" s="24">
        <f t="shared" si="3"/>
        <v>167660134</v>
      </c>
      <c r="H16" s="24">
        <f>88168503.69+119913856.26</f>
        <v>208082359.94999999</v>
      </c>
      <c r="I16" s="23"/>
      <c r="J16" s="24">
        <f t="shared" si="4"/>
        <v>208082359.94999999</v>
      </c>
      <c r="K16" s="38" t="s">
        <v>280</v>
      </c>
      <c r="L16" s="88"/>
      <c r="M16" s="87"/>
      <c r="N16" s="87"/>
      <c r="O16" s="87"/>
      <c r="P16" s="87"/>
      <c r="Q16" s="87"/>
      <c r="R16" s="87"/>
      <c r="S16" s="87"/>
      <c r="T16" s="87"/>
      <c r="U16" s="87"/>
      <c r="V16" s="87"/>
      <c r="W16" s="87"/>
      <c r="X16" s="87"/>
      <c r="Y16" s="87"/>
      <c r="Z16" s="87"/>
      <c r="AA16" s="87"/>
      <c r="AB16" s="87"/>
      <c r="AC16" s="87"/>
    </row>
    <row r="17" spans="1:29" ht="15.75" customHeight="1">
      <c r="A17" s="44" t="s">
        <v>38</v>
      </c>
      <c r="B17" s="45">
        <f t="shared" ref="B17:E17" si="5">SUM(B4:B16)</f>
        <v>11327660134</v>
      </c>
      <c r="C17" s="45">
        <f t="shared" si="5"/>
        <v>18585000000</v>
      </c>
      <c r="D17" s="45">
        <f t="shared" si="5"/>
        <v>29912660134</v>
      </c>
      <c r="E17" s="45">
        <f t="shared" si="5"/>
        <v>7623943877.96</v>
      </c>
      <c r="F17" s="45">
        <f>SUM(F4:F16)+1678455058.05+733260124.99</f>
        <v>22288716256.040001</v>
      </c>
      <c r="G17" s="45">
        <f t="shared" ref="G17:H17" si="6">SUM(G4:G16)</f>
        <v>29912660134</v>
      </c>
      <c r="H17" s="45">
        <f t="shared" si="6"/>
        <v>8562246456.1599998</v>
      </c>
      <c r="I17" s="45">
        <f>SUM(I4:I16)+1744174154.96+766593580</f>
        <v>27080631369.959999</v>
      </c>
      <c r="J17" s="45">
        <f>SUM(J4:J16)</f>
        <v>35642877826.109993</v>
      </c>
      <c r="K17" s="46"/>
      <c r="L17" s="91"/>
      <c r="M17" s="92"/>
      <c r="N17" s="92"/>
      <c r="O17" s="92"/>
      <c r="P17" s="92"/>
      <c r="Q17" s="92"/>
      <c r="R17" s="92"/>
      <c r="S17" s="92"/>
      <c r="T17" s="92"/>
      <c r="U17" s="92"/>
      <c r="V17" s="92"/>
      <c r="W17" s="92"/>
      <c r="X17" s="92"/>
      <c r="Y17" s="92"/>
      <c r="Z17" s="92"/>
      <c r="AA17" s="92"/>
      <c r="AB17" s="92"/>
      <c r="AC17" s="92"/>
    </row>
    <row r="18" spans="1:29"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3"/>
      <c r="M18" s="2"/>
      <c r="N18" s="2"/>
      <c r="O18" s="2"/>
      <c r="P18" s="2"/>
      <c r="Q18" s="2"/>
      <c r="R18" s="2"/>
      <c r="S18" s="2"/>
      <c r="T18" s="2"/>
      <c r="U18" s="2"/>
      <c r="V18" s="2"/>
      <c r="W18" s="2"/>
      <c r="X18" s="2"/>
      <c r="Y18" s="2"/>
      <c r="Z18" s="2"/>
      <c r="AA18" s="2"/>
      <c r="AB18" s="2"/>
      <c r="AC18" s="2"/>
    </row>
    <row r="19" spans="1:29"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3"/>
      <c r="M19" s="2"/>
      <c r="N19" s="2"/>
      <c r="O19" s="2"/>
      <c r="P19" s="2"/>
      <c r="Q19" s="2"/>
      <c r="R19" s="2"/>
      <c r="S19" s="2"/>
      <c r="T19" s="2"/>
      <c r="U19" s="2"/>
      <c r="V19" s="2"/>
      <c r="W19" s="2"/>
      <c r="X19" s="2"/>
      <c r="Y19" s="2"/>
      <c r="Z19" s="2"/>
      <c r="AA19" s="2"/>
      <c r="AB19" s="2"/>
      <c r="AC19" s="2"/>
    </row>
    <row r="20" spans="1:29"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3"/>
      <c r="M20" s="2"/>
      <c r="N20" s="2"/>
      <c r="O20" s="2"/>
      <c r="P20" s="2"/>
      <c r="Q20" s="2"/>
      <c r="R20" s="2"/>
      <c r="S20" s="2"/>
      <c r="T20" s="2"/>
      <c r="U20" s="2"/>
      <c r="V20" s="2"/>
      <c r="W20" s="2"/>
      <c r="X20" s="2"/>
      <c r="Y20" s="2"/>
      <c r="Z20" s="2"/>
      <c r="AA20" s="2"/>
      <c r="AB20" s="2"/>
      <c r="AC20" s="2"/>
    </row>
    <row r="21" spans="1:29"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3"/>
      <c r="M21" s="2"/>
      <c r="N21" s="2"/>
      <c r="O21" s="2"/>
      <c r="P21" s="2"/>
      <c r="Q21" s="2"/>
      <c r="R21" s="2"/>
      <c r="S21" s="2"/>
      <c r="T21" s="2"/>
      <c r="U21" s="2"/>
      <c r="V21" s="2"/>
      <c r="W21" s="2"/>
      <c r="X21" s="2"/>
      <c r="Y21" s="2"/>
      <c r="Z21" s="2"/>
      <c r="AA21" s="2"/>
      <c r="AB21" s="2"/>
      <c r="AC21" s="2"/>
    </row>
    <row r="22" spans="1:29"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93"/>
      <c r="M22" s="94"/>
      <c r="N22" s="94"/>
      <c r="O22" s="94"/>
      <c r="P22" s="94"/>
      <c r="Q22" s="94"/>
      <c r="R22" s="94"/>
      <c r="S22" s="94"/>
      <c r="T22" s="94"/>
      <c r="U22" s="94"/>
      <c r="V22" s="94"/>
      <c r="W22" s="94"/>
      <c r="X22" s="94"/>
      <c r="Y22" s="94"/>
      <c r="Z22" s="94"/>
      <c r="AA22" s="94"/>
      <c r="AB22" s="94"/>
      <c r="AC22" s="94"/>
    </row>
    <row r="23" spans="1:29" ht="15.75" customHeight="1">
      <c r="A23" s="72" t="s">
        <v>45</v>
      </c>
      <c r="B23" s="73">
        <f t="shared" ref="B23:J23" si="11">B17+B22</f>
        <v>17494715379</v>
      </c>
      <c r="C23" s="73">
        <f t="shared" si="11"/>
        <v>20195051950</v>
      </c>
      <c r="D23" s="73">
        <f t="shared" si="11"/>
        <v>37689767329</v>
      </c>
      <c r="E23" s="73">
        <f t="shared" si="11"/>
        <v>13790999122.959999</v>
      </c>
      <c r="F23" s="73">
        <f t="shared" si="11"/>
        <v>23898768206.040001</v>
      </c>
      <c r="G23" s="73">
        <f t="shared" si="11"/>
        <v>37689767329</v>
      </c>
      <c r="H23" s="73">
        <f t="shared" si="11"/>
        <v>14729301701.16</v>
      </c>
      <c r="I23" s="73">
        <f t="shared" si="11"/>
        <v>28690683319.959999</v>
      </c>
      <c r="J23" s="73">
        <f t="shared" si="11"/>
        <v>43419985021.109993</v>
      </c>
      <c r="K23" s="24"/>
      <c r="L23" s="3"/>
      <c r="M23" s="2"/>
      <c r="N23" s="2"/>
      <c r="O23" s="2"/>
      <c r="P23" s="2"/>
      <c r="Q23" s="2"/>
      <c r="R23" s="2"/>
      <c r="S23" s="2"/>
      <c r="T23" s="2"/>
      <c r="U23" s="2"/>
      <c r="V23" s="2"/>
      <c r="W23" s="2"/>
      <c r="X23" s="2"/>
      <c r="Y23" s="2"/>
      <c r="Z23" s="2"/>
      <c r="AA23" s="2"/>
      <c r="AB23" s="2"/>
      <c r="AC23" s="2"/>
    </row>
    <row r="24" spans="1:29" ht="15.75" customHeight="1">
      <c r="A24" s="55"/>
      <c r="B24" s="55"/>
      <c r="C24" s="55"/>
      <c r="D24" s="55"/>
      <c r="E24" s="55"/>
      <c r="F24" s="55"/>
      <c r="G24" s="55"/>
      <c r="H24" s="55"/>
      <c r="I24" s="55"/>
      <c r="J24" s="55"/>
      <c r="K24" s="57"/>
      <c r="L24" s="3"/>
      <c r="M24" s="2"/>
      <c r="N24" s="2"/>
      <c r="O24" s="2"/>
      <c r="P24" s="2"/>
      <c r="Q24" s="2"/>
      <c r="R24" s="2"/>
      <c r="S24" s="2"/>
      <c r="T24" s="2"/>
      <c r="U24" s="2"/>
      <c r="V24" s="2"/>
      <c r="W24" s="2"/>
      <c r="X24" s="2"/>
      <c r="Y24" s="2"/>
      <c r="Z24" s="2"/>
      <c r="AA24" s="2"/>
      <c r="AB24" s="2"/>
      <c r="AC24" s="2"/>
    </row>
    <row r="25" spans="1:29" ht="15.75" customHeight="1">
      <c r="A25" s="63"/>
      <c r="B25" s="63"/>
      <c r="C25" s="63"/>
      <c r="D25" s="63"/>
      <c r="E25" s="63"/>
      <c r="F25" s="63"/>
      <c r="G25" s="63"/>
      <c r="H25" s="63"/>
      <c r="I25" s="63"/>
      <c r="J25" s="63"/>
      <c r="K25" s="2"/>
      <c r="L25" s="3"/>
      <c r="M25" s="2"/>
      <c r="N25" s="2"/>
      <c r="O25" s="2"/>
      <c r="P25" s="2"/>
      <c r="Q25" s="2"/>
      <c r="R25" s="2"/>
      <c r="S25" s="2"/>
      <c r="T25" s="2"/>
      <c r="U25" s="2"/>
      <c r="V25" s="2"/>
      <c r="W25" s="2"/>
      <c r="X25" s="2"/>
      <c r="Y25" s="2"/>
      <c r="Z25" s="2"/>
      <c r="AA25" s="2"/>
      <c r="AB25" s="2"/>
      <c r="AC25" s="2"/>
    </row>
    <row r="26" spans="1:29" ht="15.75" customHeight="1">
      <c r="A26" s="63"/>
      <c r="B26" s="63"/>
      <c r="C26" s="63"/>
      <c r="D26" s="63"/>
      <c r="E26" s="63"/>
      <c r="F26" s="64"/>
      <c r="G26" s="63"/>
      <c r="H26" s="63"/>
      <c r="I26" s="64"/>
      <c r="J26" s="63"/>
      <c r="K26" s="2"/>
      <c r="L26" s="3"/>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63" t="s">
        <v>282</v>
      </c>
      <c r="B2" s="165" t="s">
        <v>283</v>
      </c>
      <c r="C2" s="166"/>
      <c r="D2" s="167"/>
      <c r="E2" s="168" t="s">
        <v>284</v>
      </c>
      <c r="F2" s="166"/>
      <c r="G2" s="167"/>
      <c r="H2" s="169" t="s">
        <v>285</v>
      </c>
      <c r="I2" s="166"/>
      <c r="J2" s="167"/>
      <c r="K2" s="163" t="s">
        <v>286</v>
      </c>
      <c r="L2" s="3"/>
      <c r="M2" s="2"/>
      <c r="N2" s="2"/>
      <c r="O2" s="2"/>
      <c r="P2" s="2"/>
      <c r="Q2" s="2"/>
      <c r="R2" s="2"/>
      <c r="S2" s="2"/>
      <c r="T2" s="2"/>
      <c r="U2" s="2"/>
      <c r="V2" s="2"/>
      <c r="W2" s="2"/>
      <c r="X2" s="2"/>
      <c r="Y2" s="2"/>
      <c r="Z2" s="2"/>
      <c r="AA2" s="2"/>
      <c r="AB2" s="2"/>
      <c r="AC2" s="2"/>
    </row>
    <row r="3" spans="1:29" ht="28.5" customHeight="1">
      <c r="A3" s="164"/>
      <c r="B3" s="96" t="s">
        <v>5</v>
      </c>
      <c r="C3" s="96" t="s">
        <v>6</v>
      </c>
      <c r="D3" s="96" t="s">
        <v>7</v>
      </c>
      <c r="E3" s="96" t="s">
        <v>5</v>
      </c>
      <c r="F3" s="95" t="s">
        <v>6</v>
      </c>
      <c r="G3" s="95" t="s">
        <v>7</v>
      </c>
      <c r="H3" s="96" t="s">
        <v>5</v>
      </c>
      <c r="I3" s="95" t="s">
        <v>6</v>
      </c>
      <c r="J3" s="95" t="s">
        <v>7</v>
      </c>
      <c r="K3" s="164"/>
      <c r="L3" s="3"/>
      <c r="M3" s="2"/>
      <c r="N3" s="2"/>
      <c r="O3" s="2"/>
      <c r="P3" s="2"/>
      <c r="Q3" s="2"/>
      <c r="R3" s="2"/>
      <c r="S3" s="2"/>
      <c r="T3" s="2"/>
      <c r="U3" s="2"/>
      <c r="V3" s="2"/>
      <c r="W3" s="2"/>
      <c r="X3" s="2"/>
      <c r="Y3" s="2"/>
      <c r="Z3" s="2"/>
      <c r="AA3" s="2"/>
      <c r="AB3" s="2"/>
      <c r="AC3" s="2"/>
    </row>
    <row r="4" spans="1:29">
      <c r="A4" s="97" t="s">
        <v>8</v>
      </c>
      <c r="B4" s="98">
        <v>0</v>
      </c>
      <c r="C4" s="99">
        <v>3000000000</v>
      </c>
      <c r="D4" s="99">
        <f t="shared" ref="D4:D16" si="0">SUM(B4:C4)</f>
        <v>3000000000</v>
      </c>
      <c r="E4" s="100">
        <v>0</v>
      </c>
      <c r="F4" s="101">
        <v>3000000000</v>
      </c>
      <c r="G4" s="102">
        <f t="shared" ref="G4:G5" si="1">SUM(E4:F4)</f>
        <v>3000000000</v>
      </c>
      <c r="H4" s="103"/>
      <c r="I4" s="104">
        <f>1766210022.45+1693108143.42</f>
        <v>3459318165.8699999</v>
      </c>
      <c r="J4" s="104">
        <f t="shared" ref="J4:J5" si="2">SUM(H4:I4)</f>
        <v>3459318165.8699999</v>
      </c>
      <c r="K4" s="105" t="s">
        <v>9</v>
      </c>
      <c r="L4" s="3"/>
      <c r="M4" s="2"/>
      <c r="N4" s="2"/>
      <c r="O4" s="2"/>
      <c r="P4" s="2"/>
      <c r="Q4" s="2"/>
      <c r="R4" s="2"/>
      <c r="S4" s="2"/>
      <c r="T4" s="2"/>
      <c r="U4" s="2"/>
      <c r="V4" s="2"/>
      <c r="W4" s="2"/>
      <c r="X4" s="2"/>
      <c r="Y4" s="2"/>
      <c r="Z4" s="2"/>
      <c r="AA4" s="2"/>
      <c r="AB4" s="2"/>
      <c r="AC4" s="2"/>
    </row>
    <row r="5" spans="1:29">
      <c r="A5" s="106" t="s">
        <v>10</v>
      </c>
      <c r="B5" s="107">
        <v>0</v>
      </c>
      <c r="C5" s="108">
        <v>4400000000</v>
      </c>
      <c r="D5" s="108">
        <f t="shared" si="0"/>
        <v>4400000000</v>
      </c>
      <c r="E5" s="109">
        <v>0</v>
      </c>
      <c r="F5" s="110">
        <v>4400000000</v>
      </c>
      <c r="G5" s="110">
        <f t="shared" si="1"/>
        <v>4400000000</v>
      </c>
      <c r="H5" s="110">
        <v>0</v>
      </c>
      <c r="I5" s="110">
        <f>2000000000+282312603.74+2325834136.37+8387.5+1000000000</f>
        <v>5608155127.6099997</v>
      </c>
      <c r="J5" s="110">
        <f t="shared" si="2"/>
        <v>5608155127.6099997</v>
      </c>
      <c r="K5" s="111" t="s">
        <v>287</v>
      </c>
      <c r="L5" s="112"/>
      <c r="M5" s="2"/>
      <c r="N5" s="2"/>
      <c r="O5" s="2"/>
      <c r="P5" s="2"/>
      <c r="Q5" s="2"/>
      <c r="R5" s="2"/>
      <c r="S5" s="2"/>
      <c r="T5" s="2"/>
      <c r="U5" s="2"/>
      <c r="V5" s="2"/>
      <c r="W5" s="2"/>
      <c r="X5" s="2"/>
      <c r="Y5" s="2"/>
      <c r="Z5" s="2"/>
      <c r="AA5" s="2"/>
      <c r="AB5" s="2"/>
      <c r="AC5" s="2"/>
    </row>
    <row r="6" spans="1:29" ht="14.25">
      <c r="A6" s="106" t="s">
        <v>12</v>
      </c>
      <c r="B6" s="113">
        <v>2375000000</v>
      </c>
      <c r="C6" s="114">
        <v>125000000</v>
      </c>
      <c r="D6" s="114">
        <f t="shared" si="0"/>
        <v>2500000000</v>
      </c>
      <c r="E6" s="115">
        <f>G6-1538167873.18</f>
        <v>961832126.81999993</v>
      </c>
      <c r="F6" s="115" t="s">
        <v>288</v>
      </c>
      <c r="G6" s="115">
        <v>2500000000</v>
      </c>
      <c r="H6" s="115">
        <v>1351313224.0899999</v>
      </c>
      <c r="I6" s="115" t="s">
        <v>289</v>
      </c>
      <c r="J6" s="115">
        <v>3088533317.5700002</v>
      </c>
      <c r="K6" s="115" t="s">
        <v>198</v>
      </c>
      <c r="L6" s="112"/>
      <c r="M6" s="116"/>
      <c r="N6" s="117"/>
      <c r="O6" s="117"/>
      <c r="P6" s="117"/>
      <c r="Q6" s="117"/>
      <c r="R6" s="117"/>
      <c r="S6" s="118"/>
      <c r="T6" s="117"/>
      <c r="U6" s="119">
        <v>760194656.66999996</v>
      </c>
      <c r="V6" s="117"/>
      <c r="W6" s="117"/>
      <c r="X6" s="117"/>
      <c r="Y6" s="117"/>
      <c r="Z6" s="117"/>
      <c r="AA6" s="117"/>
      <c r="AB6" s="117"/>
      <c r="AC6" s="117"/>
    </row>
    <row r="7" spans="1:29" ht="128.25">
      <c r="A7" s="106" t="s">
        <v>16</v>
      </c>
      <c r="B7" s="113">
        <v>1500000000</v>
      </c>
      <c r="C7" s="107">
        <v>0</v>
      </c>
      <c r="D7" s="108">
        <f t="shared" si="0"/>
        <v>1500000000</v>
      </c>
      <c r="E7" s="115">
        <v>767603444.46000004</v>
      </c>
      <c r="F7" s="115" t="s">
        <v>290</v>
      </c>
      <c r="G7" s="108">
        <v>1500000000</v>
      </c>
      <c r="H7" s="107">
        <v>1090036594.1700001</v>
      </c>
      <c r="I7" s="115" t="s">
        <v>291</v>
      </c>
      <c r="J7" s="115">
        <v>1853119990.54</v>
      </c>
      <c r="K7" s="120" t="s">
        <v>202</v>
      </c>
      <c r="L7" s="112"/>
      <c r="M7" s="2"/>
      <c r="N7" s="2"/>
      <c r="O7" s="2"/>
      <c r="P7" s="2"/>
      <c r="Q7" s="2"/>
      <c r="R7" s="2"/>
      <c r="S7" s="2"/>
      <c r="T7" s="2"/>
      <c r="U7" s="2"/>
      <c r="V7" s="2"/>
      <c r="W7" s="2"/>
      <c r="X7" s="2"/>
      <c r="Y7" s="2"/>
      <c r="Z7" s="2"/>
      <c r="AA7" s="2"/>
      <c r="AB7" s="2"/>
      <c r="AC7" s="2"/>
    </row>
    <row r="8" spans="1:29" ht="85.5">
      <c r="A8" s="121" t="s">
        <v>20</v>
      </c>
      <c r="B8" s="107">
        <v>5000000000</v>
      </c>
      <c r="C8" s="107">
        <v>0</v>
      </c>
      <c r="D8" s="108">
        <f t="shared" si="0"/>
        <v>5000000000</v>
      </c>
      <c r="E8" s="107">
        <v>5000000000</v>
      </c>
      <c r="F8" s="107">
        <v>0</v>
      </c>
      <c r="G8" s="108">
        <f t="shared" ref="G8:G16" si="3">SUM(E8:F8)</f>
        <v>5000000000</v>
      </c>
      <c r="H8" s="107">
        <v>5000000000</v>
      </c>
      <c r="I8" s="107">
        <v>0</v>
      </c>
      <c r="J8" s="108">
        <f t="shared" ref="J8:J16" si="4">SUM(H8:I8)</f>
        <v>5000000000</v>
      </c>
      <c r="K8" s="120" t="s">
        <v>147</v>
      </c>
      <c r="L8" s="3"/>
      <c r="M8" s="2"/>
      <c r="N8" s="2"/>
      <c r="O8" s="2"/>
      <c r="P8" s="2"/>
      <c r="Q8" s="2"/>
      <c r="R8" s="2"/>
      <c r="S8" s="2"/>
      <c r="T8" s="2"/>
      <c r="U8" s="2"/>
      <c r="V8" s="2"/>
      <c r="W8" s="2"/>
      <c r="X8" s="2"/>
      <c r="Y8" s="2"/>
      <c r="Z8" s="2"/>
      <c r="AA8" s="2"/>
      <c r="AB8" s="2"/>
      <c r="AC8" s="2"/>
    </row>
    <row r="9" spans="1:29" ht="14.25">
      <c r="A9" s="121" t="s">
        <v>22</v>
      </c>
      <c r="B9" s="107">
        <v>1550000000</v>
      </c>
      <c r="C9" s="107">
        <v>0</v>
      </c>
      <c r="D9" s="108">
        <f t="shared" si="0"/>
        <v>1550000000</v>
      </c>
      <c r="E9" s="107">
        <v>1550000000</v>
      </c>
      <c r="F9" s="107">
        <v>0</v>
      </c>
      <c r="G9" s="108">
        <f t="shared" si="3"/>
        <v>1550000000</v>
      </c>
      <c r="H9" s="107">
        <v>1550000000</v>
      </c>
      <c r="I9" s="107">
        <v>0</v>
      </c>
      <c r="J9" s="108">
        <f t="shared" si="4"/>
        <v>1550000000</v>
      </c>
      <c r="K9" s="120" t="s">
        <v>292</v>
      </c>
      <c r="L9" s="3"/>
      <c r="M9" s="2"/>
      <c r="N9" s="2"/>
      <c r="O9" s="2"/>
      <c r="P9" s="2"/>
      <c r="Q9" s="2"/>
      <c r="R9" s="2"/>
      <c r="S9" s="2"/>
      <c r="T9" s="2"/>
      <c r="U9" s="2"/>
      <c r="V9" s="2"/>
      <c r="W9" s="2"/>
      <c r="X9" s="2"/>
      <c r="Y9" s="2"/>
      <c r="Z9" s="2"/>
      <c r="AA9" s="2"/>
      <c r="AB9" s="2"/>
      <c r="AC9" s="2"/>
    </row>
    <row r="10" spans="1:29" ht="71.25">
      <c r="A10" s="106" t="s">
        <v>24</v>
      </c>
      <c r="B10" s="107">
        <v>0</v>
      </c>
      <c r="C10" s="107">
        <v>2050000000</v>
      </c>
      <c r="D10" s="108">
        <f t="shared" si="0"/>
        <v>2050000000</v>
      </c>
      <c r="E10" s="107">
        <v>0</v>
      </c>
      <c r="F10" s="107">
        <v>2050000000</v>
      </c>
      <c r="G10" s="108">
        <f t="shared" si="3"/>
        <v>2050000000</v>
      </c>
      <c r="H10" s="107">
        <v>0</v>
      </c>
      <c r="I10" s="107">
        <v>2865242744.2399998</v>
      </c>
      <c r="J10" s="108">
        <f t="shared" si="4"/>
        <v>2865242744.2399998</v>
      </c>
      <c r="K10" s="120" t="s">
        <v>149</v>
      </c>
      <c r="L10" s="112"/>
      <c r="M10" s="2"/>
      <c r="N10" s="2"/>
      <c r="O10" s="2"/>
      <c r="P10" s="2"/>
      <c r="Q10" s="2"/>
      <c r="R10" s="2"/>
      <c r="S10" s="2"/>
      <c r="T10" s="2"/>
      <c r="U10" s="2"/>
      <c r="V10" s="2"/>
      <c r="W10" s="2"/>
      <c r="X10" s="2"/>
      <c r="Y10" s="2"/>
      <c r="Z10" s="2"/>
      <c r="AA10" s="2"/>
      <c r="AB10" s="2"/>
      <c r="AC10" s="2"/>
    </row>
    <row r="11" spans="1:29" ht="143.25" customHeight="1">
      <c r="A11" s="106" t="s">
        <v>26</v>
      </c>
      <c r="B11" s="107">
        <v>0</v>
      </c>
      <c r="C11" s="107">
        <v>4950000000</v>
      </c>
      <c r="D11" s="108">
        <f t="shared" si="0"/>
        <v>4950000000</v>
      </c>
      <c r="E11" s="107">
        <v>0</v>
      </c>
      <c r="F11" s="107">
        <v>4950000000</v>
      </c>
      <c r="G11" s="108">
        <f t="shared" si="3"/>
        <v>4950000000</v>
      </c>
      <c r="H11" s="107">
        <v>0</v>
      </c>
      <c r="I11" s="107">
        <v>6056862825.6899996</v>
      </c>
      <c r="J11" s="108">
        <f t="shared" si="4"/>
        <v>6056862825.6899996</v>
      </c>
      <c r="K11" s="120" t="s">
        <v>293</v>
      </c>
      <c r="L11" s="122"/>
      <c r="M11" s="2"/>
      <c r="N11" s="2"/>
      <c r="O11" s="2"/>
      <c r="P11" s="2"/>
      <c r="Q11" s="2"/>
      <c r="R11" s="2"/>
      <c r="S11" s="2"/>
      <c r="T11" s="2"/>
      <c r="U11" s="2"/>
      <c r="V11" s="2"/>
      <c r="W11" s="2"/>
      <c r="X11" s="2"/>
      <c r="Y11" s="2"/>
      <c r="Z11" s="2"/>
      <c r="AA11" s="2"/>
      <c r="AB11" s="2"/>
      <c r="AC11" s="2"/>
    </row>
    <row r="12" spans="1:29" ht="71.25">
      <c r="A12" s="106" t="s">
        <v>28</v>
      </c>
      <c r="B12" s="107">
        <v>0</v>
      </c>
      <c r="C12" s="107">
        <v>3650000000</v>
      </c>
      <c r="D12" s="108">
        <f t="shared" si="0"/>
        <v>3650000000</v>
      </c>
      <c r="E12" s="107">
        <v>0</v>
      </c>
      <c r="F12" s="107">
        <v>3650000000</v>
      </c>
      <c r="G12" s="108">
        <f t="shared" si="3"/>
        <v>3650000000</v>
      </c>
      <c r="H12" s="107">
        <v>0</v>
      </c>
      <c r="I12" s="107">
        <v>4454481653.4300003</v>
      </c>
      <c r="J12" s="108">
        <f t="shared" si="4"/>
        <v>4454481653.4300003</v>
      </c>
      <c r="K12" s="120" t="s">
        <v>152</v>
      </c>
      <c r="L12" s="112"/>
      <c r="M12" s="2"/>
      <c r="N12" s="2"/>
      <c r="O12" s="2"/>
      <c r="P12" s="2"/>
      <c r="Q12" s="2"/>
      <c r="R12" s="2"/>
      <c r="S12" s="2"/>
      <c r="T12" s="2"/>
      <c r="U12" s="2"/>
      <c r="V12" s="2"/>
      <c r="W12" s="2"/>
      <c r="X12" s="2"/>
      <c r="Y12" s="2"/>
      <c r="Z12" s="2"/>
      <c r="AA12" s="2"/>
      <c r="AB12" s="2"/>
      <c r="AC12" s="2"/>
    </row>
    <row r="13" spans="1:29" ht="42.75">
      <c r="A13" s="106" t="s">
        <v>29</v>
      </c>
      <c r="B13" s="108">
        <v>135000000</v>
      </c>
      <c r="C13" s="107">
        <v>0</v>
      </c>
      <c r="D13" s="108">
        <f t="shared" si="0"/>
        <v>135000000</v>
      </c>
      <c r="E13" s="107">
        <v>135000000</v>
      </c>
      <c r="F13" s="107">
        <v>0</v>
      </c>
      <c r="G13" s="108">
        <f t="shared" si="3"/>
        <v>135000000</v>
      </c>
      <c r="H13" s="107">
        <v>166780799.15000001</v>
      </c>
      <c r="I13" s="107">
        <v>0</v>
      </c>
      <c r="J13" s="108">
        <f t="shared" si="4"/>
        <v>166780799.15000001</v>
      </c>
      <c r="K13" s="120" t="s">
        <v>294</v>
      </c>
      <c r="L13" s="112"/>
      <c r="M13" s="2"/>
      <c r="N13" s="2"/>
      <c r="O13" s="2"/>
      <c r="P13" s="2"/>
      <c r="Q13" s="2"/>
      <c r="R13" s="2"/>
      <c r="S13" s="2"/>
      <c r="T13" s="2"/>
      <c r="U13" s="2"/>
      <c r="V13" s="2"/>
      <c r="W13" s="2"/>
      <c r="X13" s="2"/>
      <c r="Y13" s="2"/>
      <c r="Z13" s="2"/>
      <c r="AA13" s="2"/>
      <c r="AB13" s="2"/>
      <c r="AC13" s="2"/>
    </row>
    <row r="14" spans="1:29" ht="71.25">
      <c r="A14" s="106" t="s">
        <v>31</v>
      </c>
      <c r="B14" s="107">
        <v>0</v>
      </c>
      <c r="C14" s="107">
        <v>310000000</v>
      </c>
      <c r="D14" s="108">
        <f t="shared" si="0"/>
        <v>310000000</v>
      </c>
      <c r="E14" s="107">
        <v>0</v>
      </c>
      <c r="F14" s="107">
        <v>310000000</v>
      </c>
      <c r="G14" s="108">
        <f t="shared" si="3"/>
        <v>310000000</v>
      </c>
      <c r="H14" s="107">
        <v>0</v>
      </c>
      <c r="I14" s="107">
        <v>429965881</v>
      </c>
      <c r="J14" s="108">
        <f t="shared" si="4"/>
        <v>429965881</v>
      </c>
      <c r="K14" s="120" t="s">
        <v>152</v>
      </c>
      <c r="L14" s="112"/>
      <c r="M14" s="2"/>
      <c r="N14" s="2"/>
      <c r="O14" s="2"/>
      <c r="P14" s="2"/>
      <c r="Q14" s="2"/>
      <c r="R14" s="2"/>
      <c r="S14" s="2"/>
      <c r="T14" s="2"/>
      <c r="U14" s="2"/>
      <c r="V14" s="2"/>
      <c r="W14" s="2"/>
      <c r="X14" s="2"/>
      <c r="Y14" s="2"/>
      <c r="Z14" s="2"/>
      <c r="AA14" s="2"/>
      <c r="AB14" s="2"/>
      <c r="AC14" s="2"/>
    </row>
    <row r="15" spans="1:29" ht="14.25">
      <c r="A15" s="121" t="s">
        <v>35</v>
      </c>
      <c r="B15" s="107">
        <v>600000000</v>
      </c>
      <c r="C15" s="107">
        <v>100000000</v>
      </c>
      <c r="D15" s="108">
        <f t="shared" si="0"/>
        <v>700000000</v>
      </c>
      <c r="E15" s="107">
        <v>600000000</v>
      </c>
      <c r="F15" s="107">
        <v>100000000</v>
      </c>
      <c r="G15" s="108">
        <f t="shared" si="3"/>
        <v>700000000</v>
      </c>
      <c r="H15" s="107">
        <v>600000000</v>
      </c>
      <c r="I15" s="107">
        <v>100000000</v>
      </c>
      <c r="J15" s="108">
        <f t="shared" si="4"/>
        <v>700000000</v>
      </c>
      <c r="K15" s="120" t="s">
        <v>295</v>
      </c>
      <c r="L15" s="3"/>
      <c r="M15" s="2"/>
      <c r="N15" s="2"/>
      <c r="O15" s="2"/>
      <c r="P15" s="2"/>
      <c r="Q15" s="2"/>
      <c r="R15" s="2"/>
      <c r="S15" s="2"/>
      <c r="T15" s="2"/>
      <c r="U15" s="2"/>
      <c r="V15" s="2"/>
      <c r="W15" s="2"/>
      <c r="X15" s="2"/>
      <c r="Y15" s="2"/>
      <c r="Z15" s="2"/>
      <c r="AA15" s="2"/>
      <c r="AB15" s="2"/>
      <c r="AC15" s="2"/>
    </row>
    <row r="16" spans="1:29" ht="42.75">
      <c r="A16" s="106" t="s">
        <v>37</v>
      </c>
      <c r="B16" s="108">
        <f>71040828+96619306</f>
        <v>167660134</v>
      </c>
      <c r="C16" s="107">
        <v>0</v>
      </c>
      <c r="D16" s="108">
        <f t="shared" si="0"/>
        <v>167660134</v>
      </c>
      <c r="E16" s="108">
        <f>71040828+96619306</f>
        <v>167660134</v>
      </c>
      <c r="F16" s="107">
        <v>0</v>
      </c>
      <c r="G16" s="108">
        <f t="shared" si="3"/>
        <v>167660134</v>
      </c>
      <c r="H16" s="108">
        <f>87764785.67+119364778.28</f>
        <v>207129563.94999999</v>
      </c>
      <c r="I16" s="107"/>
      <c r="J16" s="108">
        <f t="shared" si="4"/>
        <v>207129563.94999999</v>
      </c>
      <c r="K16" s="120" t="s">
        <v>294</v>
      </c>
      <c r="L16" s="112"/>
      <c r="M16" s="2"/>
      <c r="N16" s="2"/>
      <c r="O16" s="2"/>
      <c r="P16" s="2"/>
      <c r="Q16" s="2"/>
      <c r="R16" s="2"/>
      <c r="S16" s="2"/>
      <c r="T16" s="2"/>
      <c r="U16" s="2"/>
      <c r="V16" s="2"/>
      <c r="W16" s="2"/>
      <c r="X16" s="2"/>
      <c r="Y16" s="2"/>
      <c r="Z16" s="2"/>
      <c r="AA16" s="2"/>
      <c r="AB16" s="2"/>
      <c r="AC16" s="2"/>
    </row>
    <row r="17" spans="1:29" ht="15.75" customHeight="1">
      <c r="A17" s="123" t="s">
        <v>38</v>
      </c>
      <c r="B17" s="124">
        <f t="shared" ref="B17:E17" si="5">SUM(B4:B16)</f>
        <v>11327660134</v>
      </c>
      <c r="C17" s="124">
        <f t="shared" si="5"/>
        <v>18585000000</v>
      </c>
      <c r="D17" s="124">
        <f t="shared" si="5"/>
        <v>29912660134</v>
      </c>
      <c r="E17" s="124">
        <f t="shared" si="5"/>
        <v>9182095705.2799988</v>
      </c>
      <c r="F17" s="124">
        <f>SUM(F4:F16)+1538167873.18+732396555.54</f>
        <v>20730564428.720001</v>
      </c>
      <c r="G17" s="124">
        <f t="shared" ref="G17:H17" si="6">SUM(G4:G16)</f>
        <v>29912660134</v>
      </c>
      <c r="H17" s="124">
        <f t="shared" si="6"/>
        <v>9965260181.3600006</v>
      </c>
      <c r="I17" s="124">
        <f>SUM(I4:I16)+1737220093.498+763083396.37</f>
        <v>25474329887.708</v>
      </c>
      <c r="J17" s="124">
        <f>SUM(J4:J16)</f>
        <v>35439590069.050003</v>
      </c>
      <c r="K17" s="125"/>
      <c r="L17" s="126"/>
      <c r="M17" s="94"/>
      <c r="N17" s="94"/>
      <c r="O17" s="94"/>
      <c r="P17" s="94"/>
      <c r="Q17" s="94"/>
      <c r="R17" s="94"/>
      <c r="S17" s="94"/>
      <c r="T17" s="94"/>
      <c r="U17" s="94"/>
      <c r="V17" s="94"/>
      <c r="W17" s="94"/>
      <c r="X17" s="94"/>
      <c r="Y17" s="94"/>
      <c r="Z17" s="94"/>
      <c r="AA17" s="94"/>
      <c r="AB17" s="94"/>
      <c r="AC17" s="94"/>
    </row>
    <row r="18" spans="1:29" ht="14.25">
      <c r="A18" s="106" t="s">
        <v>39</v>
      </c>
      <c r="B18" s="107">
        <v>0</v>
      </c>
      <c r="C18" s="107">
        <v>1500000000</v>
      </c>
      <c r="D18" s="108">
        <f t="shared" ref="D18:D21" si="7">SUM(B18:C18)</f>
        <v>1500000000</v>
      </c>
      <c r="E18" s="107">
        <v>0</v>
      </c>
      <c r="F18" s="107">
        <v>1500000000</v>
      </c>
      <c r="G18" s="108">
        <f t="shared" ref="G18:G21" si="8">SUM(E18:F18)</f>
        <v>1500000000</v>
      </c>
      <c r="H18" s="107">
        <v>0</v>
      </c>
      <c r="I18" s="107">
        <v>1500000000</v>
      </c>
      <c r="J18" s="108">
        <f t="shared" ref="J18:J21" si="9">SUM(H18:I18)</f>
        <v>1500000000</v>
      </c>
      <c r="K18" s="108"/>
      <c r="L18" s="3"/>
      <c r="M18" s="2"/>
      <c r="N18" s="2"/>
      <c r="O18" s="2"/>
      <c r="P18" s="2"/>
      <c r="Q18" s="2"/>
      <c r="R18" s="2"/>
      <c r="S18" s="2"/>
      <c r="T18" s="2"/>
      <c r="U18" s="2"/>
      <c r="V18" s="2"/>
      <c r="W18" s="2"/>
      <c r="X18" s="2"/>
      <c r="Y18" s="2"/>
      <c r="Z18" s="2"/>
      <c r="AA18" s="2"/>
      <c r="AB18" s="2"/>
      <c r="AC18" s="2"/>
    </row>
    <row r="19" spans="1:29" ht="14.25">
      <c r="A19" s="106" t="s">
        <v>41</v>
      </c>
      <c r="B19" s="108">
        <v>4392583672</v>
      </c>
      <c r="C19" s="107">
        <v>0</v>
      </c>
      <c r="D19" s="108">
        <f t="shared" si="7"/>
        <v>4392583672</v>
      </c>
      <c r="E19" s="107">
        <v>4392583672</v>
      </c>
      <c r="F19" s="107">
        <v>0</v>
      </c>
      <c r="G19" s="108">
        <f t="shared" si="8"/>
        <v>4392583672</v>
      </c>
      <c r="H19" s="107">
        <v>4392583672</v>
      </c>
      <c r="I19" s="107">
        <v>0</v>
      </c>
      <c r="J19" s="108">
        <f t="shared" si="9"/>
        <v>4392583672</v>
      </c>
      <c r="K19" s="108"/>
      <c r="L19" s="3"/>
      <c r="M19" s="2"/>
      <c r="N19" s="2"/>
      <c r="O19" s="2"/>
      <c r="P19" s="2"/>
      <c r="Q19" s="2"/>
      <c r="R19" s="2"/>
      <c r="S19" s="2"/>
      <c r="T19" s="2"/>
      <c r="U19" s="2"/>
      <c r="V19" s="2"/>
      <c r="W19" s="2"/>
      <c r="X19" s="2"/>
      <c r="Y19" s="2"/>
      <c r="Z19" s="2"/>
      <c r="AA19" s="2"/>
      <c r="AB19" s="2"/>
      <c r="AC19" s="2"/>
    </row>
    <row r="20" spans="1:29" ht="14.25">
      <c r="A20" s="106" t="s">
        <v>42</v>
      </c>
      <c r="B20" s="108">
        <v>1774471573</v>
      </c>
      <c r="C20" s="107">
        <v>0</v>
      </c>
      <c r="D20" s="108">
        <f t="shared" si="7"/>
        <v>1774471573</v>
      </c>
      <c r="E20" s="107">
        <v>1774471573</v>
      </c>
      <c r="F20" s="107">
        <v>0</v>
      </c>
      <c r="G20" s="108">
        <f t="shared" si="8"/>
        <v>1774471573</v>
      </c>
      <c r="H20" s="107">
        <v>1774471573</v>
      </c>
      <c r="I20" s="107">
        <v>0</v>
      </c>
      <c r="J20" s="108">
        <f t="shared" si="9"/>
        <v>1774471573</v>
      </c>
      <c r="K20" s="108"/>
      <c r="L20" s="3"/>
      <c r="M20" s="2"/>
      <c r="N20" s="2"/>
      <c r="O20" s="2"/>
      <c r="P20" s="2"/>
      <c r="Q20" s="2"/>
      <c r="R20" s="2"/>
      <c r="S20" s="2"/>
      <c r="T20" s="2"/>
      <c r="U20" s="2"/>
      <c r="V20" s="2"/>
      <c r="W20" s="2"/>
      <c r="X20" s="2"/>
      <c r="Y20" s="2"/>
      <c r="Z20" s="2"/>
      <c r="AA20" s="2"/>
      <c r="AB20" s="2"/>
      <c r="AC20" s="2"/>
    </row>
    <row r="21" spans="1:29" ht="14.25">
      <c r="A21" s="106" t="s">
        <v>43</v>
      </c>
      <c r="B21" s="107">
        <v>0</v>
      </c>
      <c r="C21" s="108">
        <v>110051950</v>
      </c>
      <c r="D21" s="108">
        <f t="shared" si="7"/>
        <v>110051950</v>
      </c>
      <c r="E21" s="107">
        <v>0</v>
      </c>
      <c r="F21" s="107">
        <v>110051950</v>
      </c>
      <c r="G21" s="108">
        <f t="shared" si="8"/>
        <v>110051950</v>
      </c>
      <c r="H21" s="107">
        <v>0</v>
      </c>
      <c r="I21" s="107">
        <v>110051950</v>
      </c>
      <c r="J21" s="108">
        <f t="shared" si="9"/>
        <v>110051950</v>
      </c>
      <c r="K21" s="108"/>
      <c r="L21" s="3"/>
      <c r="M21" s="2"/>
      <c r="N21" s="2"/>
      <c r="O21" s="2"/>
      <c r="P21" s="2"/>
      <c r="Q21" s="2"/>
      <c r="R21" s="2"/>
      <c r="S21" s="2"/>
      <c r="T21" s="2"/>
      <c r="U21" s="2"/>
      <c r="V21" s="2"/>
      <c r="W21" s="2"/>
      <c r="X21" s="2"/>
      <c r="Y21" s="2"/>
      <c r="Z21" s="2"/>
      <c r="AA21" s="2"/>
      <c r="AB21" s="2"/>
      <c r="AC21" s="2"/>
    </row>
    <row r="22" spans="1:29" ht="15.75" customHeight="1">
      <c r="A22" s="123" t="s">
        <v>154</v>
      </c>
      <c r="B22" s="124">
        <f t="shared" ref="B22:J22" si="10">SUM(B18:B21)</f>
        <v>6167055245</v>
      </c>
      <c r="C22" s="124">
        <f t="shared" si="10"/>
        <v>1610051950</v>
      </c>
      <c r="D22" s="124">
        <f t="shared" si="10"/>
        <v>7777107195</v>
      </c>
      <c r="E22" s="124">
        <f t="shared" si="10"/>
        <v>6167055245</v>
      </c>
      <c r="F22" s="124">
        <f t="shared" si="10"/>
        <v>1610051950</v>
      </c>
      <c r="G22" s="124">
        <f t="shared" si="10"/>
        <v>7777107195</v>
      </c>
      <c r="H22" s="124">
        <f t="shared" si="10"/>
        <v>6167055245</v>
      </c>
      <c r="I22" s="124">
        <f t="shared" si="10"/>
        <v>1610051950</v>
      </c>
      <c r="J22" s="124">
        <f t="shared" si="10"/>
        <v>7777107195</v>
      </c>
      <c r="K22" s="125"/>
      <c r="L22" s="93"/>
      <c r="M22" s="94"/>
      <c r="N22" s="94"/>
      <c r="O22" s="94"/>
      <c r="P22" s="94"/>
      <c r="Q22" s="94"/>
      <c r="R22" s="94"/>
      <c r="S22" s="94"/>
      <c r="T22" s="94"/>
      <c r="U22" s="94"/>
      <c r="V22" s="94"/>
      <c r="W22" s="94"/>
      <c r="X22" s="94"/>
      <c r="Y22" s="94"/>
      <c r="Z22" s="94"/>
      <c r="AA22" s="94"/>
      <c r="AB22" s="94"/>
      <c r="AC22" s="94"/>
    </row>
    <row r="23" spans="1:29" ht="15.75" customHeight="1">
      <c r="A23" s="127" t="s">
        <v>45</v>
      </c>
      <c r="B23" s="128">
        <f t="shared" ref="B23:J23" si="11">B17+B22</f>
        <v>17494715379</v>
      </c>
      <c r="C23" s="128">
        <f t="shared" si="11"/>
        <v>20195051950</v>
      </c>
      <c r="D23" s="128">
        <f t="shared" si="11"/>
        <v>37689767329</v>
      </c>
      <c r="E23" s="128">
        <f t="shared" si="11"/>
        <v>15349150950.279999</v>
      </c>
      <c r="F23" s="128">
        <f t="shared" si="11"/>
        <v>22340616378.720001</v>
      </c>
      <c r="G23" s="128">
        <f t="shared" si="11"/>
        <v>37689767329</v>
      </c>
      <c r="H23" s="128">
        <f t="shared" si="11"/>
        <v>16132315426.360001</v>
      </c>
      <c r="I23" s="128">
        <f t="shared" si="11"/>
        <v>27084381837.708</v>
      </c>
      <c r="J23" s="128">
        <f t="shared" si="11"/>
        <v>43216697264.050003</v>
      </c>
      <c r="K23" s="108"/>
      <c r="L23" s="3"/>
      <c r="M23" s="2"/>
      <c r="N23" s="2"/>
      <c r="O23" s="2"/>
      <c r="P23" s="2"/>
      <c r="Q23" s="2"/>
      <c r="R23" s="2"/>
      <c r="S23" s="2"/>
      <c r="T23" s="2"/>
      <c r="U23" s="2"/>
      <c r="V23" s="2"/>
      <c r="W23" s="2"/>
      <c r="X23" s="2"/>
      <c r="Y23" s="2"/>
      <c r="Z23" s="2"/>
      <c r="AA23" s="2"/>
      <c r="AB23" s="2"/>
      <c r="AC23" s="2"/>
    </row>
    <row r="24" spans="1:29" ht="15.75" customHeight="1">
      <c r="A24" s="2"/>
      <c r="B24" s="2"/>
      <c r="C24" s="2"/>
      <c r="D24" s="2"/>
      <c r="E24" s="2"/>
      <c r="F24" s="2"/>
      <c r="G24" s="2"/>
      <c r="H24" s="2"/>
      <c r="I24" s="2"/>
      <c r="J24" s="2"/>
      <c r="K24" s="2"/>
      <c r="L24" s="3"/>
      <c r="M24" s="2"/>
      <c r="N24" s="2"/>
      <c r="O24" s="2"/>
      <c r="P24" s="2"/>
      <c r="Q24" s="2"/>
      <c r="R24" s="2"/>
      <c r="S24" s="2"/>
      <c r="T24" s="2"/>
      <c r="U24" s="2"/>
      <c r="V24" s="2"/>
      <c r="W24" s="2"/>
      <c r="X24" s="2"/>
      <c r="Y24" s="2"/>
      <c r="Z24" s="2"/>
      <c r="AA24" s="2"/>
      <c r="AB24" s="2"/>
      <c r="AC24" s="2"/>
    </row>
    <row r="25" spans="1:29" ht="15.75" customHeight="1">
      <c r="A25" s="63"/>
      <c r="B25" s="63"/>
      <c r="C25" s="63"/>
      <c r="D25" s="63"/>
      <c r="E25" s="63"/>
      <c r="F25" s="63"/>
      <c r="G25" s="63"/>
      <c r="H25" s="63"/>
      <c r="I25" s="63"/>
      <c r="J25" s="63"/>
      <c r="K25" s="2"/>
      <c r="L25" s="3"/>
      <c r="M25" s="2"/>
      <c r="N25" s="2"/>
      <c r="O25" s="2"/>
      <c r="P25" s="2"/>
      <c r="Q25" s="2"/>
      <c r="R25" s="2"/>
      <c r="S25" s="2"/>
      <c r="T25" s="2"/>
      <c r="U25" s="2"/>
      <c r="V25" s="2"/>
      <c r="W25" s="2"/>
      <c r="X25" s="2"/>
      <c r="Y25" s="2"/>
      <c r="Z25" s="2"/>
      <c r="AA25" s="2"/>
      <c r="AB25" s="2"/>
      <c r="AC25" s="2"/>
    </row>
    <row r="26" spans="1:29" ht="15.75" customHeight="1">
      <c r="A26" s="63"/>
      <c r="B26" s="63"/>
      <c r="C26" s="63"/>
      <c r="D26" s="63"/>
      <c r="E26" s="63"/>
      <c r="F26" s="64"/>
      <c r="G26" s="63"/>
      <c r="H26" s="63"/>
      <c r="I26" s="64"/>
      <c r="J26" s="63"/>
      <c r="K26" s="2"/>
      <c r="L26" s="3"/>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29"/>
      <c r="B1" s="4"/>
      <c r="C1" s="4"/>
      <c r="D1" s="4"/>
      <c r="E1" s="4"/>
      <c r="F1" s="4"/>
      <c r="G1" s="4"/>
      <c r="H1" s="4"/>
      <c r="I1" s="4"/>
      <c r="J1" s="4"/>
      <c r="K1" s="4"/>
      <c r="L1" s="4"/>
      <c r="M1" s="4"/>
      <c r="N1" s="4"/>
      <c r="O1" s="4"/>
      <c r="P1" s="4"/>
      <c r="Q1" s="4"/>
      <c r="R1" s="4"/>
      <c r="S1" s="4"/>
      <c r="T1" s="4"/>
      <c r="U1" s="4"/>
      <c r="V1" s="4"/>
      <c r="W1" s="4"/>
      <c r="X1" s="4"/>
      <c r="Y1" s="4"/>
      <c r="Z1" s="4"/>
      <c r="AA1" s="4"/>
      <c r="AB1" s="4"/>
      <c r="AC1" s="4"/>
    </row>
    <row r="2" spans="1:29" ht="34.5" customHeight="1">
      <c r="A2" s="177" t="s">
        <v>282</v>
      </c>
      <c r="B2" s="178" t="s">
        <v>283</v>
      </c>
      <c r="C2" s="166"/>
      <c r="D2" s="167"/>
      <c r="E2" s="179" t="s">
        <v>296</v>
      </c>
      <c r="F2" s="166"/>
      <c r="G2" s="167"/>
      <c r="H2" s="180" t="s">
        <v>297</v>
      </c>
      <c r="I2" s="166"/>
      <c r="J2" s="167"/>
      <c r="K2" s="177" t="s">
        <v>286</v>
      </c>
      <c r="L2" s="4"/>
      <c r="M2" s="4"/>
      <c r="N2" s="4"/>
      <c r="O2" s="4"/>
      <c r="P2" s="4"/>
      <c r="Q2" s="4"/>
      <c r="R2" s="4"/>
      <c r="S2" s="4"/>
      <c r="T2" s="4"/>
      <c r="U2" s="4"/>
      <c r="V2" s="4"/>
      <c r="W2" s="4"/>
      <c r="X2" s="4"/>
      <c r="Y2" s="4"/>
      <c r="Z2" s="4"/>
      <c r="AA2" s="4"/>
      <c r="AB2" s="4"/>
      <c r="AC2" s="4"/>
    </row>
    <row r="3" spans="1:29" ht="26.25" customHeight="1">
      <c r="A3" s="164"/>
      <c r="B3" s="130" t="s">
        <v>5</v>
      </c>
      <c r="C3" s="130" t="s">
        <v>6</v>
      </c>
      <c r="D3" s="130" t="s">
        <v>7</v>
      </c>
      <c r="E3" s="130" t="s">
        <v>5</v>
      </c>
      <c r="F3" s="130" t="s">
        <v>6</v>
      </c>
      <c r="G3" s="130" t="s">
        <v>7</v>
      </c>
      <c r="H3" s="130" t="s">
        <v>5</v>
      </c>
      <c r="I3" s="130" t="s">
        <v>6</v>
      </c>
      <c r="J3" s="130" t="s">
        <v>7</v>
      </c>
      <c r="K3" s="164"/>
      <c r="L3" s="4"/>
      <c r="M3" s="4"/>
      <c r="N3" s="4"/>
      <c r="O3" s="4"/>
      <c r="P3" s="4"/>
      <c r="Q3" s="4"/>
      <c r="R3" s="4"/>
      <c r="S3" s="4"/>
      <c r="T3" s="4"/>
      <c r="U3" s="4"/>
      <c r="V3" s="4"/>
      <c r="W3" s="4"/>
      <c r="X3" s="4"/>
      <c r="Y3" s="4"/>
      <c r="Z3" s="4"/>
      <c r="AA3" s="4"/>
      <c r="AB3" s="4"/>
      <c r="AC3" s="4"/>
    </row>
    <row r="4" spans="1:29">
      <c r="A4" s="131" t="s">
        <v>8</v>
      </c>
      <c r="B4" s="132">
        <v>0</v>
      </c>
      <c r="C4" s="133">
        <v>3000000000</v>
      </c>
      <c r="D4" s="133">
        <f t="shared" ref="D4:D16" si="0">SUM(B4:C4)</f>
        <v>3000000000</v>
      </c>
      <c r="E4" s="181">
        <v>0</v>
      </c>
      <c r="F4" s="183">
        <v>3000000000</v>
      </c>
      <c r="G4" s="171"/>
      <c r="H4" s="172"/>
      <c r="I4" s="170">
        <f>1766210022.45+1693108143.42</f>
        <v>3459318165.8699999</v>
      </c>
      <c r="J4" s="171"/>
      <c r="K4" s="172"/>
      <c r="L4" s="173"/>
      <c r="M4" s="174"/>
      <c r="N4" s="175"/>
      <c r="O4" s="176"/>
      <c r="P4" s="4"/>
      <c r="Q4" s="4"/>
      <c r="R4" s="4"/>
      <c r="S4" s="4"/>
      <c r="T4" s="4"/>
      <c r="U4" s="4"/>
      <c r="V4" s="4"/>
      <c r="W4" s="4"/>
      <c r="X4" s="4"/>
      <c r="Y4" s="4"/>
      <c r="Z4" s="4"/>
      <c r="AA4" s="4"/>
      <c r="AB4" s="4"/>
      <c r="AC4" s="4"/>
    </row>
    <row r="5" spans="1:29">
      <c r="A5" s="134" t="s">
        <v>10</v>
      </c>
      <c r="B5" s="135">
        <v>0</v>
      </c>
      <c r="C5" s="136">
        <v>4400000000</v>
      </c>
      <c r="D5" s="136">
        <f t="shared" si="0"/>
        <v>4400000000</v>
      </c>
      <c r="E5" s="182"/>
      <c r="F5" s="137">
        <v>4400000000</v>
      </c>
      <c r="G5" s="137">
        <f>SUM(E5:F5)</f>
        <v>4400000000</v>
      </c>
      <c r="H5" s="137">
        <v>0</v>
      </c>
      <c r="I5" s="137">
        <f>2000000000+282312603.74+2325834136.37+8387.5+981000000</f>
        <v>5589155127.6099997</v>
      </c>
      <c r="J5" s="137">
        <f>SUM(H5:I5)</f>
        <v>5589155127.6099997</v>
      </c>
      <c r="K5" s="137" t="s">
        <v>298</v>
      </c>
      <c r="L5" s="138"/>
      <c r="M5" s="138"/>
      <c r="N5" s="138"/>
      <c r="O5" s="172"/>
      <c r="P5" s="4"/>
      <c r="Q5" s="4"/>
      <c r="R5" s="4"/>
      <c r="S5" s="4"/>
      <c r="T5" s="4"/>
      <c r="U5" s="4"/>
      <c r="V5" s="4"/>
      <c r="W5" s="4"/>
      <c r="X5" s="4"/>
      <c r="Y5" s="4"/>
      <c r="Z5" s="4"/>
      <c r="AA5" s="4"/>
      <c r="AB5" s="4"/>
      <c r="AC5" s="4"/>
    </row>
    <row r="6" spans="1:29" ht="14.25">
      <c r="A6" s="134" t="s">
        <v>12</v>
      </c>
      <c r="B6" s="139">
        <v>2375000000</v>
      </c>
      <c r="C6" s="140">
        <v>125000000</v>
      </c>
      <c r="D6" s="140">
        <f t="shared" si="0"/>
        <v>2500000000</v>
      </c>
      <c r="E6" s="141">
        <v>1013942010.26</v>
      </c>
      <c r="F6" s="141" t="s">
        <v>299</v>
      </c>
      <c r="G6" s="141">
        <v>2500000000</v>
      </c>
      <c r="H6" s="115">
        <v>1524101595.1700001</v>
      </c>
      <c r="I6" s="115" t="s">
        <v>300</v>
      </c>
      <c r="J6" s="115">
        <v>3076841320.5500002</v>
      </c>
      <c r="K6" s="115" t="s">
        <v>301</v>
      </c>
      <c r="L6" s="142"/>
      <c r="M6" s="143"/>
      <c r="N6" s="142"/>
      <c r="O6" s="142"/>
      <c r="P6" s="142"/>
      <c r="Q6" s="142"/>
      <c r="R6" s="142"/>
      <c r="S6" s="144"/>
      <c r="T6" s="142"/>
      <c r="U6" s="119">
        <v>760194656.66999996</v>
      </c>
      <c r="V6" s="142"/>
      <c r="W6" s="142"/>
      <c r="X6" s="142"/>
      <c r="Y6" s="142"/>
      <c r="Z6" s="142"/>
      <c r="AA6" s="142"/>
      <c r="AB6" s="142"/>
      <c r="AC6" s="142"/>
    </row>
    <row r="7" spans="1:29" ht="128.25">
      <c r="A7" s="134" t="s">
        <v>16</v>
      </c>
      <c r="B7" s="139">
        <v>1500000000</v>
      </c>
      <c r="C7" s="135">
        <v>0</v>
      </c>
      <c r="D7" s="136">
        <f t="shared" si="0"/>
        <v>1500000000</v>
      </c>
      <c r="E7" s="141">
        <v>767603444.46000004</v>
      </c>
      <c r="F7" s="141" t="s">
        <v>290</v>
      </c>
      <c r="G7" s="136">
        <v>1500000000</v>
      </c>
      <c r="H7" s="136">
        <v>1085910135.6600001</v>
      </c>
      <c r="I7" s="115" t="s">
        <v>302</v>
      </c>
      <c r="J7" s="115">
        <v>1846104792.3327999</v>
      </c>
      <c r="K7" s="120" t="s">
        <v>202</v>
      </c>
      <c r="L7" s="4"/>
      <c r="M7" s="4"/>
      <c r="N7" s="4"/>
      <c r="O7" s="4"/>
      <c r="P7" s="4"/>
      <c r="Q7" s="4"/>
      <c r="R7" s="4"/>
      <c r="S7" s="4"/>
      <c r="T7" s="4"/>
      <c r="U7" s="4"/>
      <c r="V7" s="4"/>
      <c r="W7" s="4"/>
      <c r="X7" s="4"/>
      <c r="Y7" s="4"/>
      <c r="Z7" s="4"/>
      <c r="AA7" s="4"/>
      <c r="AB7" s="4"/>
      <c r="AC7" s="4"/>
    </row>
    <row r="8" spans="1:29" ht="85.5">
      <c r="A8" s="145" t="s">
        <v>20</v>
      </c>
      <c r="B8" s="135">
        <v>5000000000</v>
      </c>
      <c r="C8" s="135">
        <v>0</v>
      </c>
      <c r="D8" s="136">
        <f t="shared" si="0"/>
        <v>5000000000</v>
      </c>
      <c r="E8" s="135">
        <v>5000000000</v>
      </c>
      <c r="F8" s="135">
        <v>0</v>
      </c>
      <c r="G8" s="136">
        <f t="shared" ref="G8:G16" si="1">SUM(E8:F8)</f>
        <v>5000000000</v>
      </c>
      <c r="H8" s="135">
        <v>5000000000</v>
      </c>
      <c r="I8" s="135">
        <v>0</v>
      </c>
      <c r="J8" s="136">
        <f t="shared" ref="J8:J16" si="2">SUM(H8:I8)</f>
        <v>5000000000</v>
      </c>
      <c r="K8" s="146" t="s">
        <v>147</v>
      </c>
      <c r="L8" s="4"/>
      <c r="M8" s="4"/>
      <c r="N8" s="4"/>
      <c r="O8" s="4"/>
      <c r="P8" s="4"/>
      <c r="Q8" s="4"/>
      <c r="R8" s="4"/>
      <c r="S8" s="4"/>
      <c r="T8" s="4"/>
      <c r="U8" s="4"/>
      <c r="V8" s="4"/>
      <c r="W8" s="4"/>
      <c r="X8" s="4"/>
      <c r="Y8" s="4"/>
      <c r="Z8" s="4"/>
      <c r="AA8" s="4"/>
      <c r="AB8" s="4"/>
      <c r="AC8" s="4"/>
    </row>
    <row r="9" spans="1:29" ht="14.25">
      <c r="A9" s="145" t="s">
        <v>22</v>
      </c>
      <c r="B9" s="135">
        <v>1550000000</v>
      </c>
      <c r="C9" s="135">
        <v>0</v>
      </c>
      <c r="D9" s="136">
        <f t="shared" si="0"/>
        <v>1550000000</v>
      </c>
      <c r="E9" s="135">
        <v>1550000000</v>
      </c>
      <c r="F9" s="135">
        <v>0</v>
      </c>
      <c r="G9" s="136">
        <f t="shared" si="1"/>
        <v>1550000000</v>
      </c>
      <c r="H9" s="135">
        <v>1550000000</v>
      </c>
      <c r="I9" s="135">
        <v>0</v>
      </c>
      <c r="J9" s="136">
        <f t="shared" si="2"/>
        <v>1550000000</v>
      </c>
      <c r="K9" s="146" t="s">
        <v>292</v>
      </c>
      <c r="L9" s="4"/>
      <c r="M9" s="4"/>
      <c r="N9" s="4"/>
      <c r="O9" s="4"/>
      <c r="P9" s="4"/>
      <c r="Q9" s="4"/>
      <c r="R9" s="4"/>
      <c r="S9" s="4"/>
      <c r="T9" s="4"/>
      <c r="U9" s="4"/>
      <c r="V9" s="4"/>
      <c r="W9" s="4"/>
      <c r="X9" s="4"/>
      <c r="Y9" s="4"/>
      <c r="Z9" s="4"/>
      <c r="AA9" s="4"/>
      <c r="AB9" s="4"/>
      <c r="AC9" s="4"/>
    </row>
    <row r="10" spans="1:29" ht="71.25">
      <c r="A10" s="134" t="s">
        <v>24</v>
      </c>
      <c r="B10" s="135">
        <v>0</v>
      </c>
      <c r="C10" s="135">
        <v>2050000000</v>
      </c>
      <c r="D10" s="136">
        <f t="shared" si="0"/>
        <v>2050000000</v>
      </c>
      <c r="E10" s="135">
        <v>0</v>
      </c>
      <c r="F10" s="135">
        <v>2050000000</v>
      </c>
      <c r="G10" s="136">
        <f t="shared" si="1"/>
        <v>2050000000</v>
      </c>
      <c r="H10" s="135">
        <v>0</v>
      </c>
      <c r="I10" s="135">
        <v>2840504970.7399998</v>
      </c>
      <c r="J10" s="136">
        <f t="shared" si="2"/>
        <v>2840504970.7399998</v>
      </c>
      <c r="K10" s="146" t="s">
        <v>149</v>
      </c>
      <c r="L10" s="4"/>
      <c r="M10" s="4"/>
      <c r="N10" s="4"/>
      <c r="O10" s="4"/>
      <c r="P10" s="4"/>
      <c r="Q10" s="4"/>
      <c r="R10" s="4"/>
      <c r="S10" s="4"/>
      <c r="T10" s="4"/>
      <c r="U10" s="4"/>
      <c r="V10" s="4"/>
      <c r="W10" s="4"/>
      <c r="X10" s="4"/>
      <c r="Y10" s="4"/>
      <c r="Z10" s="4"/>
      <c r="AA10" s="4"/>
      <c r="AB10" s="4"/>
      <c r="AC10" s="4"/>
    </row>
    <row r="11" spans="1:29" ht="14.25">
      <c r="A11" s="134" t="s">
        <v>26</v>
      </c>
      <c r="B11" s="135">
        <v>0</v>
      </c>
      <c r="C11" s="135">
        <v>4950000000</v>
      </c>
      <c r="D11" s="136">
        <f t="shared" si="0"/>
        <v>4950000000</v>
      </c>
      <c r="E11" s="135">
        <v>0</v>
      </c>
      <c r="F11" s="135">
        <v>4950000000</v>
      </c>
      <c r="G11" s="136">
        <f t="shared" si="1"/>
        <v>4950000000</v>
      </c>
      <c r="H11" s="135">
        <v>0</v>
      </c>
      <c r="I11" s="135">
        <v>6535876296.1499996</v>
      </c>
      <c r="J11" s="136">
        <f t="shared" si="2"/>
        <v>6535876296.1499996</v>
      </c>
      <c r="K11" s="146" t="s">
        <v>303</v>
      </c>
      <c r="L11" s="4"/>
      <c r="M11" s="4"/>
      <c r="N11" s="4"/>
      <c r="O11" s="4"/>
      <c r="P11" s="4"/>
      <c r="Q11" s="4"/>
      <c r="R11" s="4"/>
      <c r="S11" s="4"/>
      <c r="T11" s="4"/>
      <c r="U11" s="4"/>
      <c r="V11" s="4"/>
      <c r="W11" s="4"/>
      <c r="X11" s="4"/>
      <c r="Y11" s="4"/>
      <c r="Z11" s="4"/>
      <c r="AA11" s="4"/>
      <c r="AB11" s="4"/>
      <c r="AC11" s="4"/>
    </row>
    <row r="12" spans="1:29" ht="71.25">
      <c r="A12" s="134" t="s">
        <v>28</v>
      </c>
      <c r="B12" s="135">
        <v>0</v>
      </c>
      <c r="C12" s="135">
        <v>3650000000</v>
      </c>
      <c r="D12" s="136">
        <f t="shared" si="0"/>
        <v>3650000000</v>
      </c>
      <c r="E12" s="135">
        <v>0</v>
      </c>
      <c r="F12" s="135">
        <v>3650000000</v>
      </c>
      <c r="G12" s="136">
        <f t="shared" si="1"/>
        <v>3650000000</v>
      </c>
      <c r="H12" s="135">
        <v>0</v>
      </c>
      <c r="I12" s="135">
        <v>4432891834.6700001</v>
      </c>
      <c r="J12" s="136">
        <f t="shared" si="2"/>
        <v>4432891834.6700001</v>
      </c>
      <c r="K12" s="146" t="s">
        <v>152</v>
      </c>
      <c r="L12" s="4"/>
      <c r="M12" s="4"/>
      <c r="N12" s="4"/>
      <c r="O12" s="4"/>
      <c r="P12" s="4"/>
      <c r="Q12" s="4"/>
      <c r="R12" s="4"/>
      <c r="S12" s="4"/>
      <c r="T12" s="4"/>
      <c r="U12" s="4"/>
      <c r="V12" s="4"/>
      <c r="W12" s="4"/>
      <c r="X12" s="4"/>
      <c r="Y12" s="4"/>
      <c r="Z12" s="4"/>
      <c r="AA12" s="4"/>
      <c r="AB12" s="4"/>
      <c r="AC12" s="4"/>
    </row>
    <row r="13" spans="1:29" ht="42.75">
      <c r="A13" s="134" t="s">
        <v>29</v>
      </c>
      <c r="B13" s="136">
        <v>135000000</v>
      </c>
      <c r="C13" s="135">
        <v>0</v>
      </c>
      <c r="D13" s="136">
        <f t="shared" si="0"/>
        <v>135000000</v>
      </c>
      <c r="E13" s="135">
        <v>135000000</v>
      </c>
      <c r="F13" s="135">
        <v>0</v>
      </c>
      <c r="G13" s="136">
        <f t="shared" si="1"/>
        <v>135000000</v>
      </c>
      <c r="H13" s="135">
        <v>166149431.31</v>
      </c>
      <c r="I13" s="135">
        <v>0</v>
      </c>
      <c r="J13" s="136">
        <f t="shared" si="2"/>
        <v>166149431.31</v>
      </c>
      <c r="K13" s="146" t="s">
        <v>304</v>
      </c>
      <c r="L13" s="4"/>
      <c r="M13" s="4"/>
      <c r="N13" s="4"/>
      <c r="O13" s="4"/>
      <c r="P13" s="4"/>
      <c r="Q13" s="4"/>
      <c r="R13" s="4"/>
      <c r="S13" s="4"/>
      <c r="T13" s="4"/>
      <c r="U13" s="4"/>
      <c r="V13" s="4"/>
      <c r="W13" s="4"/>
      <c r="X13" s="4"/>
      <c r="Y13" s="4"/>
      <c r="Z13" s="4"/>
      <c r="AA13" s="4"/>
      <c r="AB13" s="4"/>
      <c r="AC13" s="4"/>
    </row>
    <row r="14" spans="1:29" ht="71.25">
      <c r="A14" s="134" t="s">
        <v>31</v>
      </c>
      <c r="B14" s="135">
        <v>0</v>
      </c>
      <c r="C14" s="136">
        <v>310000000</v>
      </c>
      <c r="D14" s="136">
        <f t="shared" si="0"/>
        <v>310000000</v>
      </c>
      <c r="E14" s="135">
        <v>0</v>
      </c>
      <c r="F14" s="135">
        <v>310000000</v>
      </c>
      <c r="G14" s="136">
        <f t="shared" si="1"/>
        <v>310000000</v>
      </c>
      <c r="H14" s="135">
        <v>0</v>
      </c>
      <c r="I14" s="135">
        <v>426538981.54000002</v>
      </c>
      <c r="J14" s="136">
        <f t="shared" si="2"/>
        <v>426538981.54000002</v>
      </c>
      <c r="K14" s="146" t="s">
        <v>152</v>
      </c>
      <c r="L14" s="4"/>
      <c r="M14" s="4"/>
      <c r="N14" s="4"/>
      <c r="O14" s="4"/>
      <c r="P14" s="4"/>
      <c r="Q14" s="4"/>
      <c r="R14" s="4"/>
      <c r="S14" s="4"/>
      <c r="T14" s="4"/>
      <c r="U14" s="4"/>
      <c r="V14" s="4"/>
      <c r="W14" s="4"/>
      <c r="X14" s="4"/>
      <c r="Y14" s="4"/>
      <c r="Z14" s="4"/>
      <c r="AA14" s="4"/>
      <c r="AB14" s="4"/>
      <c r="AC14" s="4"/>
    </row>
    <row r="15" spans="1:29" ht="14.25">
      <c r="A15" s="145" t="s">
        <v>35</v>
      </c>
      <c r="B15" s="135">
        <v>600000000</v>
      </c>
      <c r="C15" s="135">
        <v>100000000</v>
      </c>
      <c r="D15" s="136">
        <f t="shared" si="0"/>
        <v>700000000</v>
      </c>
      <c r="E15" s="135">
        <v>600000000</v>
      </c>
      <c r="F15" s="135">
        <v>100000000</v>
      </c>
      <c r="G15" s="136">
        <f t="shared" si="1"/>
        <v>700000000</v>
      </c>
      <c r="H15" s="135">
        <v>600000000</v>
      </c>
      <c r="I15" s="135">
        <v>100000000</v>
      </c>
      <c r="J15" s="136">
        <f t="shared" si="2"/>
        <v>700000000</v>
      </c>
      <c r="K15" s="146" t="s">
        <v>305</v>
      </c>
      <c r="L15" s="4"/>
      <c r="M15" s="4"/>
      <c r="N15" s="4"/>
      <c r="O15" s="4"/>
      <c r="P15" s="4"/>
      <c r="Q15" s="4"/>
      <c r="R15" s="4"/>
      <c r="S15" s="4"/>
      <c r="T15" s="4"/>
      <c r="U15" s="4"/>
      <c r="V15" s="4"/>
      <c r="W15" s="4"/>
      <c r="X15" s="4"/>
      <c r="Y15" s="4"/>
      <c r="Z15" s="4"/>
      <c r="AA15" s="4"/>
      <c r="AB15" s="4"/>
      <c r="AC15" s="4"/>
    </row>
    <row r="16" spans="1:29" ht="28.5">
      <c r="A16" s="134" t="s">
        <v>37</v>
      </c>
      <c r="B16" s="136">
        <f>71040828+96619306</f>
        <v>167660134</v>
      </c>
      <c r="C16" s="135">
        <v>0</v>
      </c>
      <c r="D16" s="136">
        <f t="shared" si="0"/>
        <v>167660134</v>
      </c>
      <c r="E16" s="136">
        <f>71040828+96619306</f>
        <v>167660134</v>
      </c>
      <c r="F16" s="135">
        <v>0</v>
      </c>
      <c r="G16" s="136">
        <f t="shared" si="1"/>
        <v>167660134</v>
      </c>
      <c r="H16" s="136"/>
      <c r="I16" s="135">
        <f>87432542.01+118912909.23</f>
        <v>206345451.24000001</v>
      </c>
      <c r="J16" s="136">
        <f t="shared" si="2"/>
        <v>206345451.24000001</v>
      </c>
      <c r="K16" s="146" t="s">
        <v>306</v>
      </c>
      <c r="L16" s="4"/>
      <c r="M16" s="4"/>
      <c r="N16" s="4"/>
      <c r="O16" s="4"/>
      <c r="P16" s="4"/>
      <c r="Q16" s="4"/>
      <c r="R16" s="4"/>
      <c r="S16" s="4"/>
      <c r="T16" s="4"/>
      <c r="U16" s="4"/>
      <c r="V16" s="4"/>
      <c r="W16" s="4"/>
      <c r="X16" s="4"/>
      <c r="Y16" s="4"/>
      <c r="Z16" s="4"/>
      <c r="AA16" s="4"/>
      <c r="AB16" s="4"/>
      <c r="AC16" s="4"/>
    </row>
    <row r="17" spans="1:29" ht="15.75" customHeight="1">
      <c r="A17" s="147" t="s">
        <v>38</v>
      </c>
      <c r="B17" s="148">
        <f t="shared" ref="B17:E17" si="3">SUM(B4:B16)</f>
        <v>11327660134</v>
      </c>
      <c r="C17" s="148">
        <f t="shared" si="3"/>
        <v>18585000000</v>
      </c>
      <c r="D17" s="148">
        <f t="shared" si="3"/>
        <v>29912660134</v>
      </c>
      <c r="E17" s="148">
        <f t="shared" si="3"/>
        <v>9234205588.7200012</v>
      </c>
      <c r="F17" s="148">
        <f>SUM(F4:F16)+1486057989.74+732396555.54</f>
        <v>20678454545.280003</v>
      </c>
      <c r="G17" s="148">
        <f t="shared" ref="G17:H17" si="4">SUM(G4:G16)</f>
        <v>26912660134</v>
      </c>
      <c r="H17" s="148">
        <f t="shared" si="4"/>
        <v>9926161162.1399994</v>
      </c>
      <c r="I17" s="148">
        <f>SUM(I4:I16)+1552739725.38+760194656.67</f>
        <v>25903565209.870003</v>
      </c>
      <c r="J17" s="148">
        <f>SUM(J4:J16)</f>
        <v>32370408206.142799</v>
      </c>
      <c r="K17" s="149"/>
      <c r="L17" s="50"/>
      <c r="M17" s="50"/>
      <c r="N17" s="50"/>
      <c r="O17" s="50"/>
      <c r="P17" s="50"/>
      <c r="Q17" s="50"/>
      <c r="R17" s="50"/>
      <c r="S17" s="50"/>
      <c r="T17" s="50"/>
      <c r="U17" s="50"/>
      <c r="V17" s="50"/>
      <c r="W17" s="50"/>
      <c r="X17" s="50"/>
      <c r="Y17" s="50"/>
      <c r="Z17" s="50"/>
      <c r="AA17" s="50"/>
      <c r="AB17" s="50"/>
      <c r="AC17" s="50"/>
    </row>
    <row r="18" spans="1:29" ht="14.25">
      <c r="A18" s="134" t="s">
        <v>39</v>
      </c>
      <c r="B18" s="135">
        <v>0</v>
      </c>
      <c r="C18" s="135">
        <v>1500000000</v>
      </c>
      <c r="D18" s="136">
        <f t="shared" ref="D18:D21" si="5">SUM(B18:C18)</f>
        <v>1500000000</v>
      </c>
      <c r="E18" s="135">
        <v>0</v>
      </c>
      <c r="F18" s="135">
        <v>1500000000</v>
      </c>
      <c r="G18" s="136">
        <f t="shared" ref="G18:G21" si="6">SUM(E18:F18)</f>
        <v>1500000000</v>
      </c>
      <c r="H18" s="135">
        <v>0</v>
      </c>
      <c r="I18" s="135">
        <v>1500000000</v>
      </c>
      <c r="J18" s="136">
        <f t="shared" ref="J18:J21" si="7">SUM(H18:I18)</f>
        <v>1500000000</v>
      </c>
      <c r="K18" s="136"/>
      <c r="L18" s="4"/>
      <c r="M18" s="4"/>
      <c r="N18" s="4"/>
      <c r="O18" s="4"/>
      <c r="P18" s="4"/>
      <c r="Q18" s="4"/>
      <c r="R18" s="4"/>
      <c r="S18" s="4"/>
      <c r="T18" s="4"/>
      <c r="U18" s="4"/>
      <c r="V18" s="4"/>
      <c r="W18" s="4"/>
      <c r="X18" s="4"/>
      <c r="Y18" s="4"/>
      <c r="Z18" s="4"/>
      <c r="AA18" s="4"/>
      <c r="AB18" s="4"/>
      <c r="AC18" s="4"/>
    </row>
    <row r="19" spans="1:29" ht="14.25">
      <c r="A19" s="134" t="s">
        <v>41</v>
      </c>
      <c r="B19" s="136">
        <v>4392583672</v>
      </c>
      <c r="C19" s="135">
        <v>0</v>
      </c>
      <c r="D19" s="136">
        <f t="shared" si="5"/>
        <v>4392583672</v>
      </c>
      <c r="E19" s="135">
        <v>4392583672</v>
      </c>
      <c r="F19" s="135">
        <v>0</v>
      </c>
      <c r="G19" s="136">
        <f t="shared" si="6"/>
        <v>4392583672</v>
      </c>
      <c r="H19" s="135">
        <v>4392583672</v>
      </c>
      <c r="I19" s="135">
        <v>0</v>
      </c>
      <c r="J19" s="136">
        <f t="shared" si="7"/>
        <v>4392583672</v>
      </c>
      <c r="K19" s="136"/>
      <c r="L19" s="4"/>
      <c r="M19" s="4"/>
      <c r="N19" s="4"/>
      <c r="O19" s="4"/>
      <c r="P19" s="4"/>
      <c r="Q19" s="4"/>
      <c r="R19" s="4"/>
      <c r="S19" s="4"/>
      <c r="T19" s="4"/>
      <c r="U19" s="4"/>
      <c r="V19" s="4"/>
      <c r="W19" s="4"/>
      <c r="X19" s="4"/>
      <c r="Y19" s="4"/>
      <c r="Z19" s="4"/>
      <c r="AA19" s="4"/>
      <c r="AB19" s="4"/>
      <c r="AC19" s="4"/>
    </row>
    <row r="20" spans="1:29" ht="14.25">
      <c r="A20" s="134" t="s">
        <v>42</v>
      </c>
      <c r="B20" s="136">
        <v>1774471573</v>
      </c>
      <c r="C20" s="135">
        <v>0</v>
      </c>
      <c r="D20" s="136">
        <f t="shared" si="5"/>
        <v>1774471573</v>
      </c>
      <c r="E20" s="135">
        <v>1774471573</v>
      </c>
      <c r="F20" s="135">
        <v>0</v>
      </c>
      <c r="G20" s="136">
        <f t="shared" si="6"/>
        <v>1774471573</v>
      </c>
      <c r="H20" s="135">
        <v>1774471573</v>
      </c>
      <c r="I20" s="135">
        <v>0</v>
      </c>
      <c r="J20" s="136">
        <f t="shared" si="7"/>
        <v>1774471573</v>
      </c>
      <c r="K20" s="136"/>
      <c r="L20" s="4"/>
      <c r="M20" s="4"/>
      <c r="N20" s="4"/>
      <c r="O20" s="4"/>
      <c r="P20" s="4"/>
      <c r="Q20" s="4"/>
      <c r="R20" s="4"/>
      <c r="S20" s="4"/>
      <c r="T20" s="4"/>
      <c r="U20" s="4"/>
      <c r="V20" s="4"/>
      <c r="W20" s="4"/>
      <c r="X20" s="4"/>
      <c r="Y20" s="4"/>
      <c r="Z20" s="4"/>
      <c r="AA20" s="4"/>
      <c r="AB20" s="4"/>
      <c r="AC20" s="4"/>
    </row>
    <row r="21" spans="1:29" ht="14.25">
      <c r="A21" s="134" t="s">
        <v>43</v>
      </c>
      <c r="B21" s="135">
        <v>0</v>
      </c>
      <c r="C21" s="136">
        <v>110051950</v>
      </c>
      <c r="D21" s="136">
        <f t="shared" si="5"/>
        <v>110051950</v>
      </c>
      <c r="E21" s="135">
        <v>0</v>
      </c>
      <c r="F21" s="135">
        <v>110051950</v>
      </c>
      <c r="G21" s="136">
        <f t="shared" si="6"/>
        <v>110051950</v>
      </c>
      <c r="H21" s="135">
        <v>0</v>
      </c>
      <c r="I21" s="135">
        <v>110051950</v>
      </c>
      <c r="J21" s="136">
        <f t="shared" si="7"/>
        <v>110051950</v>
      </c>
      <c r="K21" s="136"/>
      <c r="L21" s="4"/>
      <c r="M21" s="4"/>
      <c r="N21" s="4"/>
      <c r="O21" s="4"/>
      <c r="P21" s="4"/>
      <c r="Q21" s="4"/>
      <c r="R21" s="4"/>
      <c r="S21" s="4"/>
      <c r="T21" s="4"/>
      <c r="U21" s="4"/>
      <c r="V21" s="4"/>
      <c r="W21" s="4"/>
      <c r="X21" s="4"/>
      <c r="Y21" s="4"/>
      <c r="Z21" s="4"/>
      <c r="AA21" s="4"/>
      <c r="AB21" s="4"/>
      <c r="AC21" s="4"/>
    </row>
    <row r="22" spans="1:29" ht="15.75" customHeight="1">
      <c r="A22" s="147" t="s">
        <v>154</v>
      </c>
      <c r="B22" s="148">
        <f t="shared" ref="B22:J22" si="8">SUM(B18:B21)</f>
        <v>6167055245</v>
      </c>
      <c r="C22" s="148">
        <f t="shared" si="8"/>
        <v>1610051950</v>
      </c>
      <c r="D22" s="148">
        <f t="shared" si="8"/>
        <v>7777107195</v>
      </c>
      <c r="E22" s="148">
        <f t="shared" si="8"/>
        <v>6167055245</v>
      </c>
      <c r="F22" s="148">
        <f t="shared" si="8"/>
        <v>1610051950</v>
      </c>
      <c r="G22" s="148">
        <f t="shared" si="8"/>
        <v>7777107195</v>
      </c>
      <c r="H22" s="148">
        <f t="shared" si="8"/>
        <v>6167055245</v>
      </c>
      <c r="I22" s="148">
        <f t="shared" si="8"/>
        <v>1610051950</v>
      </c>
      <c r="J22" s="148">
        <f t="shared" si="8"/>
        <v>7777107195</v>
      </c>
      <c r="K22" s="149"/>
      <c r="L22" s="50"/>
      <c r="M22" s="50"/>
      <c r="N22" s="50"/>
      <c r="O22" s="50"/>
      <c r="P22" s="50"/>
      <c r="Q22" s="50"/>
      <c r="R22" s="50"/>
      <c r="S22" s="50"/>
      <c r="T22" s="50"/>
      <c r="U22" s="50"/>
      <c r="V22" s="50"/>
      <c r="W22" s="50"/>
      <c r="X22" s="50"/>
      <c r="Y22" s="50"/>
      <c r="Z22" s="50"/>
      <c r="AA22" s="50"/>
      <c r="AB22" s="50"/>
      <c r="AC22" s="50"/>
    </row>
    <row r="23" spans="1:29" ht="15.75" customHeight="1">
      <c r="A23" s="150" t="s">
        <v>45</v>
      </c>
      <c r="B23" s="151">
        <f t="shared" ref="B23:J23" si="9">B17+B22</f>
        <v>17494715379</v>
      </c>
      <c r="C23" s="151">
        <f t="shared" si="9"/>
        <v>20195051950</v>
      </c>
      <c r="D23" s="151">
        <f t="shared" si="9"/>
        <v>37689767329</v>
      </c>
      <c r="E23" s="151">
        <f t="shared" si="9"/>
        <v>15401260833.720001</v>
      </c>
      <c r="F23" s="151">
        <f t="shared" si="9"/>
        <v>22288506495.280003</v>
      </c>
      <c r="G23" s="151">
        <f t="shared" si="9"/>
        <v>34689767329</v>
      </c>
      <c r="H23" s="151">
        <f t="shared" si="9"/>
        <v>16093216407.139999</v>
      </c>
      <c r="I23" s="151">
        <f t="shared" si="9"/>
        <v>27513617159.870003</v>
      </c>
      <c r="J23" s="151">
        <f t="shared" si="9"/>
        <v>40147515401.142799</v>
      </c>
      <c r="K23" s="136"/>
      <c r="L23" s="4"/>
      <c r="M23" s="4"/>
      <c r="N23" s="4"/>
      <c r="O23" s="4"/>
      <c r="P23" s="4"/>
      <c r="Q23" s="4"/>
      <c r="R23" s="4"/>
      <c r="S23" s="4"/>
      <c r="T23" s="4"/>
      <c r="U23" s="4"/>
      <c r="V23" s="4"/>
      <c r="W23" s="4"/>
      <c r="X23" s="4"/>
      <c r="Y23" s="4"/>
      <c r="Z23" s="4"/>
      <c r="AA23" s="4"/>
      <c r="AB23" s="4"/>
      <c r="AC23" s="4"/>
    </row>
    <row r="24" spans="1:29"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row>
    <row r="25" spans="1:29" ht="15.75" customHeight="1">
      <c r="A25" s="152"/>
      <c r="B25" s="152"/>
      <c r="C25" s="152"/>
      <c r="D25" s="152"/>
      <c r="E25" s="152"/>
      <c r="F25" s="152"/>
      <c r="G25" s="152"/>
      <c r="H25" s="152"/>
      <c r="I25" s="152"/>
      <c r="J25" s="152"/>
      <c r="K25" s="4"/>
      <c r="L25" s="4"/>
      <c r="M25" s="4"/>
      <c r="N25" s="4"/>
      <c r="O25" s="4"/>
      <c r="P25" s="4"/>
      <c r="Q25" s="4"/>
      <c r="R25" s="4"/>
      <c r="S25" s="4"/>
      <c r="T25" s="4"/>
      <c r="U25" s="4"/>
      <c r="V25" s="4"/>
      <c r="W25" s="4"/>
      <c r="X25" s="4"/>
      <c r="Y25" s="4"/>
      <c r="Z25" s="4"/>
      <c r="AA25" s="4"/>
      <c r="AB25" s="4"/>
      <c r="AC25" s="4"/>
    </row>
    <row r="26" spans="1:29" ht="15.75" customHeight="1">
      <c r="A26" s="152"/>
      <c r="B26" s="152"/>
      <c r="C26" s="152"/>
      <c r="D26" s="152"/>
      <c r="E26" s="152"/>
      <c r="F26" s="64"/>
      <c r="G26" s="152"/>
      <c r="H26" s="152"/>
      <c r="I26" s="64"/>
      <c r="J26" s="152"/>
      <c r="K26" s="4"/>
      <c r="L26" s="4"/>
      <c r="M26" s="4"/>
      <c r="N26" s="4"/>
      <c r="O26" s="4"/>
      <c r="P26" s="4"/>
      <c r="Q26" s="4"/>
      <c r="R26" s="4"/>
      <c r="S26" s="4"/>
      <c r="T26" s="4"/>
      <c r="U26" s="4"/>
      <c r="V26" s="4"/>
      <c r="W26" s="4"/>
      <c r="X26" s="4"/>
      <c r="Y26" s="4"/>
      <c r="Z26" s="4"/>
      <c r="AA26" s="4"/>
      <c r="AB26" s="4"/>
      <c r="AC26" s="4"/>
    </row>
    <row r="27" spans="1:29"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row>
    <row r="28" spans="1:29"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spans="1: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spans="1:29"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spans="1:29"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29"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spans="1:29"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1:29"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spans="1:29"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1:29"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1:29"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spans="1:29"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spans="1:29"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29"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1:29"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spans="1:2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spans="1:29"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1:29"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spans="1:29"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spans="1:29"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spans="1:29"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29"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spans="1:29"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29"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1:29"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29"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spans="1:29"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spans="1:29"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spans="1:29"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spans="1:29"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spans="1:29"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29"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1:29"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spans="1:29"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spans="1:29"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29"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spans="1:29"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29"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29"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29"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spans="1:29"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1:29"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29"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29"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29"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29"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spans="1:29"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spans="1:29"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spans="1:29"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spans="1:29"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spans="1:29"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spans="1:29"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spans="1:29"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spans="1:2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spans="1:29"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spans="1:29"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spans="1:29"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spans="1:29"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spans="1:29"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spans="1:29"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spans="1:29"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spans="1:29"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spans="1:29"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spans="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spans="1:29"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spans="1:29"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spans="1:29"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spans="1:29"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spans="1:29"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spans="1:2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spans="1:29"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spans="1:29"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spans="1:29"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spans="1:29"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spans="1:29"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spans="1:29"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spans="1:29"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spans="1:29"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spans="1:29"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spans="1:2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spans="1:29"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spans="1:29"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spans="1:29"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spans="1:29"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spans="1:29"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spans="1:29"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spans="1:29"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spans="1:29"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spans="1:29"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spans="1:2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spans="1:29"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spans="1:29"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spans="1:29"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spans="1:29"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spans="1:29"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spans="1:29"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spans="1:29"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spans="1:29"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spans="1:29"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spans="1:2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spans="1:29"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spans="1:29"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spans="1:29"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spans="1:29"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spans="1:29"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spans="1:29"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spans="1:29"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spans="1:29"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spans="1:29"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spans="1:2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spans="1:29"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spans="1:29"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spans="1:29"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spans="1:29"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spans="1:29"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spans="1:29"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spans="1:29"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spans="1:29"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spans="1:29"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spans="1:2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spans="1:29"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spans="1:29"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spans="1:29"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spans="1:29"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spans="1:29"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spans="1:29"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spans="1:29"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spans="1:29"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spans="1:29"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spans="1:2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spans="1:29"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spans="1:29"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spans="1:29"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spans="1:29"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spans="1:29"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spans="1:29"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spans="1:29"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spans="1:29"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spans="1:29"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spans="1:2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spans="1:29"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spans="1:29"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spans="1:29"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spans="1:29"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spans="1:29"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spans="1:29"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spans="1:29"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spans="1:29"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spans="1:29"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spans="1: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spans="1:29"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spans="1:29"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spans="1:29"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spans="1:29"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spans="1:29"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row>
    <row r="235" spans="1:29"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row>
    <row r="236" spans="1:29"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row>
    <row r="237" spans="1:29"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row>
    <row r="238" spans="1:29"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row>
    <row r="239" spans="1:2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row>
    <row r="240" spans="1:29"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row>
    <row r="241" spans="1:29"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row>
    <row r="242" spans="1:29"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row>
    <row r="243" spans="1:29"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row>
    <row r="244" spans="1:29"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row>
    <row r="245" spans="1:29"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row>
    <row r="246" spans="1:29"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row>
    <row r="247" spans="1:29"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row>
    <row r="248" spans="1:29"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row>
    <row r="249" spans="1:2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row>
    <row r="250" spans="1:29"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row>
    <row r="251" spans="1:29"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row>
    <row r="252" spans="1:29"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row>
    <row r="253" spans="1:29"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row>
    <row r="254" spans="1:29"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row>
    <row r="255" spans="1:29"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row>
    <row r="256" spans="1:29"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row>
    <row r="257" spans="1:29"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row>
    <row r="258" spans="1:29"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row>
    <row r="259" spans="1:2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row>
    <row r="260" spans="1:29"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row>
    <row r="261" spans="1:29"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row>
    <row r="262" spans="1:29"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row>
    <row r="263" spans="1:29"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row>
    <row r="264" spans="1:29"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row>
    <row r="265" spans="1:29"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row>
    <row r="266" spans="1:29"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row>
    <row r="267" spans="1:29"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row>
    <row r="268" spans="1:29"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row>
    <row r="269" spans="1:2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row>
    <row r="270" spans="1:29"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row>
    <row r="271" spans="1:29"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row>
    <row r="272" spans="1:29"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row>
    <row r="273" spans="1:29"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row>
    <row r="274" spans="1:29"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row>
    <row r="275" spans="1:29"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row>
    <row r="276" spans="1:29"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row>
    <row r="277" spans="1:29"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row>
    <row r="278" spans="1:29"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row>
    <row r="279" spans="1:2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row>
    <row r="280" spans="1:29"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row>
    <row r="281" spans="1:29"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row>
    <row r="282" spans="1:29"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row>
    <row r="283" spans="1:29"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row>
    <row r="284" spans="1:29"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row>
    <row r="285" spans="1:29"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spans="1:29"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29"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row>
    <row r="288" spans="1:29"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spans="1:2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spans="1:29"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spans="1:29"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spans="1:29"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row>
    <row r="293" spans="1:29"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row>
    <row r="294" spans="1:29"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row>
    <row r="295" spans="1:29"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row>
    <row r="296" spans="1:29"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row>
    <row r="297" spans="1:29"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spans="1:29"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row r="1001" spans="1:29"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row>
    <row r="1002" spans="1:29"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3"/>
      <c r="M1" s="4"/>
      <c r="N1" s="2"/>
      <c r="O1" s="2"/>
      <c r="P1" s="2"/>
      <c r="Q1" s="2"/>
      <c r="R1" s="2"/>
      <c r="S1" s="2"/>
      <c r="T1" s="2"/>
      <c r="U1" s="2"/>
      <c r="V1" s="2"/>
      <c r="W1" s="2"/>
      <c r="X1" s="2"/>
      <c r="Y1" s="2"/>
      <c r="Z1" s="2"/>
      <c r="AA1" s="2"/>
      <c r="AB1" s="2"/>
      <c r="AC1" s="2"/>
    </row>
    <row r="2" spans="1:29" ht="34.5" customHeight="1">
      <c r="A2" s="155" t="s">
        <v>0</v>
      </c>
      <c r="B2" s="157" t="s">
        <v>1</v>
      </c>
      <c r="C2" s="158"/>
      <c r="D2" s="159"/>
      <c r="E2" s="157" t="s">
        <v>46</v>
      </c>
      <c r="F2" s="158"/>
      <c r="G2" s="159"/>
      <c r="H2" s="160" t="s">
        <v>47</v>
      </c>
      <c r="I2" s="158"/>
      <c r="J2" s="159"/>
      <c r="K2" s="161" t="s">
        <v>4</v>
      </c>
      <c r="L2" s="162" t="s">
        <v>48</v>
      </c>
      <c r="M2" s="5"/>
      <c r="N2" s="162" t="s">
        <v>49</v>
      </c>
      <c r="O2" s="162" t="s">
        <v>50</v>
      </c>
      <c r="P2" s="162" t="s">
        <v>51</v>
      </c>
      <c r="Q2" s="162" t="s">
        <v>52</v>
      </c>
      <c r="R2" s="162" t="s">
        <v>53</v>
      </c>
      <c r="S2" s="2"/>
      <c r="T2" s="2"/>
      <c r="U2" s="2"/>
      <c r="V2" s="2"/>
      <c r="W2" s="2"/>
      <c r="X2" s="2"/>
      <c r="Y2" s="2"/>
      <c r="Z2" s="2"/>
      <c r="AA2" s="2"/>
      <c r="AB2" s="2"/>
      <c r="AC2" s="2"/>
    </row>
    <row r="3" spans="1:29" ht="28.5" customHeight="1">
      <c r="A3" s="156"/>
      <c r="B3" s="6" t="s">
        <v>5</v>
      </c>
      <c r="C3" s="7" t="s">
        <v>6</v>
      </c>
      <c r="D3" s="8" t="s">
        <v>7</v>
      </c>
      <c r="E3" s="6" t="s">
        <v>5</v>
      </c>
      <c r="F3" s="7" t="s">
        <v>6</v>
      </c>
      <c r="G3" s="8" t="s">
        <v>7</v>
      </c>
      <c r="H3" s="6" t="s">
        <v>5</v>
      </c>
      <c r="I3" s="7" t="s">
        <v>6</v>
      </c>
      <c r="J3" s="8" t="s">
        <v>7</v>
      </c>
      <c r="K3" s="156"/>
      <c r="L3" s="154"/>
      <c r="M3" s="5"/>
      <c r="N3" s="154"/>
      <c r="O3" s="154"/>
      <c r="P3" s="154"/>
      <c r="Q3" s="154"/>
      <c r="R3" s="154"/>
      <c r="S3" s="2"/>
      <c r="T3" s="2"/>
      <c r="U3" s="2"/>
      <c r="V3" s="2"/>
      <c r="W3" s="2"/>
      <c r="X3" s="2"/>
      <c r="Y3" s="2"/>
      <c r="Z3" s="2"/>
      <c r="AA3" s="2"/>
      <c r="AB3" s="2"/>
      <c r="AC3" s="2"/>
    </row>
    <row r="4" spans="1:29" ht="142.5">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7" t="s">
        <v>54</v>
      </c>
      <c r="M4" s="17"/>
      <c r="N4" s="18" t="s">
        <v>55</v>
      </c>
      <c r="O4" s="19">
        <f>1000000+46772777.86</f>
        <v>47772777.859999999</v>
      </c>
      <c r="P4" s="18" t="s">
        <v>56</v>
      </c>
      <c r="Q4" s="20" t="s">
        <v>57</v>
      </c>
      <c r="R4" s="21" t="s">
        <v>58</v>
      </c>
      <c r="S4" s="4"/>
      <c r="T4" s="4"/>
      <c r="U4" s="4"/>
      <c r="V4" s="4"/>
      <c r="W4" s="4"/>
      <c r="X4" s="4"/>
      <c r="Y4" s="4"/>
      <c r="Z4" s="4"/>
      <c r="AA4" s="4"/>
      <c r="AB4" s="4"/>
      <c r="AC4" s="4"/>
    </row>
    <row r="5" spans="1:29" ht="57">
      <c r="A5" s="22" t="s">
        <v>10</v>
      </c>
      <c r="B5" s="23">
        <v>0</v>
      </c>
      <c r="C5" s="24">
        <v>4400000000</v>
      </c>
      <c r="D5" s="24">
        <f t="shared" si="0"/>
        <v>4400000000</v>
      </c>
      <c r="E5" s="25">
        <v>0</v>
      </c>
      <c r="F5" s="26">
        <v>4400000000</v>
      </c>
      <c r="G5" s="26">
        <f t="shared" si="1"/>
        <v>4400000000</v>
      </c>
      <c r="H5" s="26">
        <v>0</v>
      </c>
      <c r="I5" s="26">
        <f>2000000000+282312603.74+2325834136.37+8387.5+1259000000</f>
        <v>5867155127.6099997</v>
      </c>
      <c r="J5" s="26">
        <f t="shared" si="2"/>
        <v>5867155127.6099997</v>
      </c>
      <c r="K5" s="27" t="s">
        <v>59</v>
      </c>
      <c r="L5" s="17" t="s">
        <v>60</v>
      </c>
      <c r="M5" s="17"/>
      <c r="N5" s="18" t="s">
        <v>55</v>
      </c>
      <c r="O5" s="19">
        <v>4320000000</v>
      </c>
      <c r="P5" s="18" t="s">
        <v>61</v>
      </c>
      <c r="Q5" s="20" t="s">
        <v>62</v>
      </c>
      <c r="R5" s="21" t="s">
        <v>63</v>
      </c>
      <c r="S5" s="4"/>
      <c r="T5" s="4"/>
      <c r="U5" s="4"/>
      <c r="V5" s="4"/>
      <c r="W5" s="4"/>
      <c r="X5" s="4"/>
      <c r="Y5" s="4"/>
      <c r="Z5" s="4"/>
      <c r="AA5" s="4"/>
      <c r="AB5" s="4"/>
      <c r="AC5" s="4"/>
    </row>
    <row r="6" spans="1:29" ht="384.75">
      <c r="A6" s="28" t="s">
        <v>12</v>
      </c>
      <c r="B6" s="29">
        <v>2375000000</v>
      </c>
      <c r="C6" s="29">
        <v>125000000</v>
      </c>
      <c r="D6" s="30">
        <f t="shared" si="0"/>
        <v>2500000000</v>
      </c>
      <c r="E6" s="31">
        <v>619956586.62</v>
      </c>
      <c r="F6" s="31" t="s">
        <v>64</v>
      </c>
      <c r="G6" s="31">
        <v>2500000000</v>
      </c>
      <c r="H6" s="31">
        <v>1226510389.8833699</v>
      </c>
      <c r="I6" s="31" t="s">
        <v>65</v>
      </c>
      <c r="J6" s="31">
        <v>3284154427.9000602</v>
      </c>
      <c r="K6" s="32" t="s">
        <v>66</v>
      </c>
      <c r="L6" s="17" t="s">
        <v>67</v>
      </c>
      <c r="M6" s="17"/>
      <c r="N6" s="18" t="s">
        <v>55</v>
      </c>
      <c r="O6" s="19">
        <f>485298345.97+154304712.96+200466868.29</f>
        <v>840069927.22000003</v>
      </c>
      <c r="P6" s="18" t="s">
        <v>68</v>
      </c>
      <c r="Q6" s="20" t="s">
        <v>69</v>
      </c>
      <c r="R6" s="33" t="s">
        <v>70</v>
      </c>
      <c r="S6" s="5"/>
      <c r="T6" s="5"/>
      <c r="U6" s="5"/>
      <c r="V6" s="5"/>
      <c r="W6" s="5"/>
      <c r="X6" s="5"/>
      <c r="Y6" s="5"/>
      <c r="Z6" s="5"/>
      <c r="AA6" s="5"/>
      <c r="AB6" s="5"/>
      <c r="AC6" s="5"/>
    </row>
    <row r="7" spans="1:29" ht="384.75">
      <c r="A7" s="28" t="s">
        <v>16</v>
      </c>
      <c r="B7" s="29">
        <v>1500000000</v>
      </c>
      <c r="C7" s="23">
        <v>0</v>
      </c>
      <c r="D7" s="24">
        <f t="shared" si="0"/>
        <v>1500000000</v>
      </c>
      <c r="E7" s="31">
        <v>625933406.22000003</v>
      </c>
      <c r="F7" s="31" t="s">
        <v>71</v>
      </c>
      <c r="G7" s="34">
        <v>1500000000</v>
      </c>
      <c r="H7" s="35">
        <v>978084029.50071204</v>
      </c>
      <c r="I7" s="31" t="s">
        <v>72</v>
      </c>
      <c r="J7" s="31">
        <v>1970492656.7400401</v>
      </c>
      <c r="K7" s="36" t="s">
        <v>73</v>
      </c>
      <c r="L7" s="17" t="s">
        <v>67</v>
      </c>
      <c r="M7" s="37"/>
      <c r="N7" s="37" t="s">
        <v>55</v>
      </c>
      <c r="O7" s="19">
        <f>214194174.68+0+132005321.23</f>
        <v>346199495.91000003</v>
      </c>
      <c r="P7" s="18" t="s">
        <v>74</v>
      </c>
      <c r="Q7" s="20" t="s">
        <v>69</v>
      </c>
      <c r="R7" s="33" t="s">
        <v>70</v>
      </c>
      <c r="S7" s="5"/>
      <c r="T7" s="5"/>
      <c r="U7" s="5"/>
      <c r="V7" s="5"/>
      <c r="W7" s="5"/>
      <c r="X7" s="5"/>
      <c r="Y7" s="5"/>
      <c r="Z7" s="5"/>
      <c r="AA7" s="5"/>
      <c r="AB7" s="5"/>
      <c r="AC7" s="5"/>
    </row>
    <row r="8" spans="1:29" ht="128.25">
      <c r="A8" s="28" t="s">
        <v>20</v>
      </c>
      <c r="B8" s="23">
        <v>5000000000</v>
      </c>
      <c r="C8" s="23">
        <v>0</v>
      </c>
      <c r="D8" s="24">
        <f t="shared" si="0"/>
        <v>5000000000</v>
      </c>
      <c r="E8" s="23">
        <v>5000000000</v>
      </c>
      <c r="F8" s="23">
        <v>0</v>
      </c>
      <c r="G8" s="24">
        <f t="shared" ref="G8:G17" si="3">SUM(E8:F8)</f>
        <v>5000000000</v>
      </c>
      <c r="H8" s="23">
        <v>6460194500</v>
      </c>
      <c r="I8" s="23">
        <v>0</v>
      </c>
      <c r="J8" s="24">
        <f t="shared" ref="J8:J17" si="4">SUM(H8:I8)</f>
        <v>6460194500</v>
      </c>
      <c r="K8" s="38" t="s">
        <v>21</v>
      </c>
      <c r="L8" s="17" t="s">
        <v>75</v>
      </c>
      <c r="M8" s="17"/>
      <c r="N8" s="18" t="s">
        <v>55</v>
      </c>
      <c r="O8" s="19">
        <v>0</v>
      </c>
      <c r="P8" s="18" t="s">
        <v>76</v>
      </c>
      <c r="Q8" s="20" t="s">
        <v>77</v>
      </c>
      <c r="R8" s="39" t="s">
        <v>78</v>
      </c>
      <c r="S8" s="4"/>
      <c r="T8" s="4"/>
      <c r="U8" s="4"/>
      <c r="V8" s="4"/>
      <c r="W8" s="4"/>
      <c r="X8" s="4"/>
      <c r="Y8" s="4"/>
      <c r="Z8" s="4"/>
      <c r="AA8" s="4"/>
      <c r="AB8" s="4"/>
      <c r="AC8" s="4"/>
    </row>
    <row r="9" spans="1:29" ht="399">
      <c r="A9" s="28" t="s">
        <v>22</v>
      </c>
      <c r="B9" s="23">
        <v>1550000000</v>
      </c>
      <c r="C9" s="23">
        <v>0</v>
      </c>
      <c r="D9" s="24">
        <f t="shared" si="0"/>
        <v>1550000000</v>
      </c>
      <c r="E9" s="23">
        <f>1550000000-1417001073</f>
        <v>132998927</v>
      </c>
      <c r="F9" s="23">
        <v>1417001073</v>
      </c>
      <c r="G9" s="24">
        <f t="shared" si="3"/>
        <v>1550000000</v>
      </c>
      <c r="H9" s="23">
        <f>171799474.89+2388827.2</f>
        <v>174188302.08999997</v>
      </c>
      <c r="I9" s="23">
        <f>(1417001073-170000000-400000000-400000000)+211773067.2+503338675.12+526057127.69</f>
        <v>1688169943.0100002</v>
      </c>
      <c r="J9" s="24">
        <f t="shared" si="4"/>
        <v>1862358245.1000001</v>
      </c>
      <c r="K9" s="66" t="s">
        <v>79</v>
      </c>
      <c r="L9" s="17" t="s">
        <v>75</v>
      </c>
      <c r="M9" s="17"/>
      <c r="N9" s="18" t="s">
        <v>55</v>
      </c>
      <c r="O9" s="19">
        <f>0+481992</f>
        <v>481992</v>
      </c>
      <c r="P9" s="18" t="s">
        <v>80</v>
      </c>
      <c r="Q9" s="20" t="s">
        <v>81</v>
      </c>
      <c r="R9" s="39" t="s">
        <v>82</v>
      </c>
      <c r="S9" s="4"/>
      <c r="T9" s="4"/>
      <c r="U9" s="4"/>
      <c r="V9" s="4"/>
      <c r="W9" s="4"/>
      <c r="X9" s="4"/>
      <c r="Y9" s="4"/>
      <c r="Z9" s="4"/>
      <c r="AA9" s="4"/>
      <c r="AB9" s="4"/>
      <c r="AC9" s="4"/>
    </row>
    <row r="10" spans="1:29" ht="142.5">
      <c r="A10" s="22" t="s">
        <v>24</v>
      </c>
      <c r="B10" s="23">
        <v>0</v>
      </c>
      <c r="C10" s="23">
        <v>2050000000</v>
      </c>
      <c r="D10" s="24">
        <f t="shared" si="0"/>
        <v>2050000000</v>
      </c>
      <c r="E10" s="23">
        <v>0</v>
      </c>
      <c r="F10" s="23">
        <v>2050000000</v>
      </c>
      <c r="G10" s="24">
        <f t="shared" si="3"/>
        <v>2050000000</v>
      </c>
      <c r="H10" s="23">
        <v>0</v>
      </c>
      <c r="I10" s="23">
        <v>3298359046.0700002</v>
      </c>
      <c r="J10" s="24">
        <f t="shared" si="4"/>
        <v>3298359046.0700002</v>
      </c>
      <c r="K10" s="38" t="s">
        <v>25</v>
      </c>
      <c r="L10" s="17" t="s">
        <v>83</v>
      </c>
      <c r="M10" s="17"/>
      <c r="N10" s="18" t="s">
        <v>84</v>
      </c>
      <c r="O10" s="19">
        <v>4577524.4800000004</v>
      </c>
      <c r="P10" s="67" t="s">
        <v>85</v>
      </c>
      <c r="Q10" s="20" t="s">
        <v>86</v>
      </c>
      <c r="R10" s="39" t="s">
        <v>87</v>
      </c>
      <c r="S10" s="4"/>
      <c r="T10" s="4"/>
      <c r="U10" s="4"/>
      <c r="V10" s="4"/>
      <c r="W10" s="4"/>
      <c r="X10" s="4"/>
      <c r="Y10" s="4"/>
      <c r="Z10" s="4"/>
      <c r="AA10" s="4"/>
      <c r="AB10" s="4"/>
      <c r="AC10" s="4"/>
    </row>
    <row r="11" spans="1:29" ht="143.25" customHeight="1">
      <c r="A11" s="22" t="s">
        <v>26</v>
      </c>
      <c r="B11" s="23">
        <v>0</v>
      </c>
      <c r="C11" s="23">
        <v>4950000000</v>
      </c>
      <c r="D11" s="24">
        <f t="shared" si="0"/>
        <v>4950000000</v>
      </c>
      <c r="E11" s="23">
        <v>0</v>
      </c>
      <c r="F11" s="23">
        <v>4950000000</v>
      </c>
      <c r="G11" s="24">
        <f t="shared" si="3"/>
        <v>4950000000</v>
      </c>
      <c r="H11" s="23">
        <v>0</v>
      </c>
      <c r="I11" s="23">
        <f>4982888163.23+(3*541384129.09)</f>
        <v>6607040550.5</v>
      </c>
      <c r="J11" s="24">
        <f t="shared" si="4"/>
        <v>6607040550.5</v>
      </c>
      <c r="K11" s="38" t="s">
        <v>27</v>
      </c>
      <c r="L11" s="17" t="s">
        <v>83</v>
      </c>
      <c r="M11" s="17"/>
      <c r="N11" s="18" t="s">
        <v>84</v>
      </c>
      <c r="O11" s="41">
        <v>1845176380.3900001</v>
      </c>
      <c r="P11" s="67" t="s">
        <v>88</v>
      </c>
      <c r="Q11" s="20" t="s">
        <v>86</v>
      </c>
      <c r="R11" s="39" t="s">
        <v>89</v>
      </c>
      <c r="S11" s="4"/>
      <c r="T11" s="4"/>
      <c r="U11" s="4"/>
      <c r="V11" s="4"/>
      <c r="W11" s="4"/>
      <c r="X11" s="4"/>
      <c r="Y11" s="4"/>
      <c r="Z11" s="4"/>
      <c r="AA11" s="4"/>
      <c r="AB11" s="4"/>
      <c r="AC11" s="4"/>
    </row>
    <row r="12" spans="1:29" ht="142.5">
      <c r="A12" s="22" t="s">
        <v>28</v>
      </c>
      <c r="B12" s="23">
        <v>0</v>
      </c>
      <c r="C12" s="23">
        <v>3650000000</v>
      </c>
      <c r="D12" s="24">
        <f t="shared" si="0"/>
        <v>3650000000</v>
      </c>
      <c r="E12" s="23">
        <v>0</v>
      </c>
      <c r="F12" s="23">
        <v>3650000000</v>
      </c>
      <c r="G12" s="24">
        <f t="shared" si="3"/>
        <v>3650000000</v>
      </c>
      <c r="H12" s="23">
        <v>0</v>
      </c>
      <c r="I12" s="23">
        <v>4780112392.1499996</v>
      </c>
      <c r="J12" s="24">
        <f t="shared" si="4"/>
        <v>4780112392.1499996</v>
      </c>
      <c r="K12" s="38" t="s">
        <v>25</v>
      </c>
      <c r="L12" s="17" t="s">
        <v>83</v>
      </c>
      <c r="M12" s="17"/>
      <c r="N12" s="18" t="s">
        <v>84</v>
      </c>
      <c r="O12" s="19">
        <v>2846026487.5599999</v>
      </c>
      <c r="P12" s="18" t="s">
        <v>90</v>
      </c>
      <c r="Q12" s="20" t="s">
        <v>86</v>
      </c>
      <c r="R12" s="39" t="s">
        <v>89</v>
      </c>
      <c r="S12" s="4"/>
      <c r="T12" s="4"/>
      <c r="U12" s="4"/>
      <c r="V12" s="4"/>
      <c r="W12" s="4"/>
      <c r="X12" s="4"/>
      <c r="Y12" s="4"/>
      <c r="Z12" s="4"/>
      <c r="AA12" s="4"/>
      <c r="AB12" s="4"/>
      <c r="AC12" s="4"/>
    </row>
    <row r="13" spans="1:29" ht="85.5">
      <c r="A13" s="22" t="s">
        <v>29</v>
      </c>
      <c r="B13" s="24">
        <v>135000000</v>
      </c>
      <c r="C13" s="23">
        <v>0</v>
      </c>
      <c r="D13" s="24">
        <f t="shared" si="0"/>
        <v>135000000</v>
      </c>
      <c r="E13" s="23">
        <v>135000000</v>
      </c>
      <c r="F13" s="23">
        <v>0</v>
      </c>
      <c r="G13" s="24">
        <f t="shared" si="3"/>
        <v>135000000</v>
      </c>
      <c r="H13" s="23">
        <v>177344339.106603</v>
      </c>
      <c r="I13" s="23">
        <v>0</v>
      </c>
      <c r="J13" s="24">
        <f t="shared" si="4"/>
        <v>177344339.106603</v>
      </c>
      <c r="K13" s="38" t="s">
        <v>30</v>
      </c>
      <c r="L13" s="17" t="s">
        <v>75</v>
      </c>
      <c r="M13" s="17"/>
      <c r="N13" s="18" t="s">
        <v>55</v>
      </c>
      <c r="O13" s="19">
        <v>18066437.449999999</v>
      </c>
      <c r="P13" s="18" t="s">
        <v>91</v>
      </c>
      <c r="Q13" s="20" t="s">
        <v>92</v>
      </c>
      <c r="R13" s="39" t="s">
        <v>93</v>
      </c>
      <c r="S13" s="4"/>
      <c r="T13" s="4"/>
      <c r="U13" s="4"/>
      <c r="V13" s="4"/>
      <c r="W13" s="4"/>
      <c r="X13" s="4"/>
      <c r="Y13" s="4"/>
      <c r="Z13" s="4"/>
      <c r="AA13" s="4"/>
      <c r="AB13" s="4"/>
      <c r="AC13" s="4"/>
    </row>
    <row r="14" spans="1:29" ht="142.5">
      <c r="A14" s="22" t="s">
        <v>31</v>
      </c>
      <c r="B14" s="23">
        <v>0</v>
      </c>
      <c r="C14" s="23">
        <v>310000000</v>
      </c>
      <c r="D14" s="24">
        <f t="shared" si="0"/>
        <v>310000000</v>
      </c>
      <c r="E14" s="23">
        <v>0</v>
      </c>
      <c r="F14" s="23">
        <v>110000000</v>
      </c>
      <c r="G14" s="24">
        <f t="shared" si="3"/>
        <v>110000000</v>
      </c>
      <c r="H14" s="23">
        <v>0</v>
      </c>
      <c r="I14" s="23">
        <v>272524099.25</v>
      </c>
      <c r="J14" s="24">
        <f t="shared" si="4"/>
        <v>272524099.25</v>
      </c>
      <c r="K14" s="38" t="s">
        <v>32</v>
      </c>
      <c r="L14" s="17" t="s">
        <v>83</v>
      </c>
      <c r="M14" s="17"/>
      <c r="N14" s="18" t="s">
        <v>84</v>
      </c>
      <c r="O14" s="19">
        <f>30603937.56+24829254.03</f>
        <v>55433191.590000004</v>
      </c>
      <c r="P14" s="67" t="s">
        <v>94</v>
      </c>
      <c r="Q14" s="20" t="s">
        <v>86</v>
      </c>
      <c r="R14" s="42" t="s">
        <v>95</v>
      </c>
      <c r="S14" s="4"/>
      <c r="T14" s="4"/>
      <c r="U14" s="4"/>
      <c r="V14" s="4"/>
      <c r="W14" s="4"/>
      <c r="X14" s="4"/>
      <c r="Y14" s="4"/>
      <c r="Z14" s="4"/>
      <c r="AA14" s="4"/>
      <c r="AB14" s="4"/>
      <c r="AC14" s="4"/>
    </row>
    <row r="15" spans="1:29" ht="142.5">
      <c r="A15" s="43" t="s">
        <v>33</v>
      </c>
      <c r="B15" s="24">
        <v>0</v>
      </c>
      <c r="C15" s="23">
        <v>0</v>
      </c>
      <c r="D15" s="24">
        <f t="shared" si="0"/>
        <v>0</v>
      </c>
      <c r="E15" s="23">
        <v>0</v>
      </c>
      <c r="F15" s="23">
        <v>200000000</v>
      </c>
      <c r="G15" s="24">
        <f t="shared" si="3"/>
        <v>200000000</v>
      </c>
      <c r="H15" s="23">
        <v>0</v>
      </c>
      <c r="I15" s="23">
        <v>216071269.69</v>
      </c>
      <c r="J15" s="24">
        <f t="shared" si="4"/>
        <v>216071269.69</v>
      </c>
      <c r="K15" s="38" t="s">
        <v>34</v>
      </c>
      <c r="L15" s="17" t="s">
        <v>83</v>
      </c>
      <c r="M15" s="17"/>
      <c r="N15" s="18" t="s">
        <v>55</v>
      </c>
      <c r="O15" s="19">
        <v>0</v>
      </c>
      <c r="P15" s="67" t="s">
        <v>96</v>
      </c>
      <c r="Q15" s="20" t="s">
        <v>86</v>
      </c>
      <c r="R15" s="42" t="s">
        <v>97</v>
      </c>
      <c r="S15" s="4"/>
      <c r="T15" s="4"/>
      <c r="U15" s="4"/>
      <c r="V15" s="4"/>
      <c r="W15" s="4"/>
      <c r="X15" s="4"/>
      <c r="Y15" s="4"/>
      <c r="Z15" s="4"/>
      <c r="AA15" s="4"/>
      <c r="AB15" s="4"/>
      <c r="AC15" s="4"/>
    </row>
    <row r="16" spans="1:29" ht="71.25">
      <c r="A16" s="28" t="s">
        <v>35</v>
      </c>
      <c r="B16" s="23">
        <v>600000000</v>
      </c>
      <c r="C16" s="23">
        <v>100000000</v>
      </c>
      <c r="D16" s="24">
        <f t="shared" si="0"/>
        <v>700000000</v>
      </c>
      <c r="E16" s="23">
        <v>600000000</v>
      </c>
      <c r="F16" s="23">
        <v>100000000</v>
      </c>
      <c r="G16" s="24">
        <f t="shared" si="3"/>
        <v>700000000</v>
      </c>
      <c r="H16" s="23">
        <v>775223340</v>
      </c>
      <c r="I16" s="23">
        <v>129203890</v>
      </c>
      <c r="J16" s="24">
        <f t="shared" si="4"/>
        <v>904427230</v>
      </c>
      <c r="K16" s="38" t="s">
        <v>36</v>
      </c>
      <c r="L16" s="17" t="s">
        <v>75</v>
      </c>
      <c r="M16" s="17"/>
      <c r="N16" s="18" t="s">
        <v>55</v>
      </c>
      <c r="O16" s="19">
        <v>430297431.44999999</v>
      </c>
      <c r="P16" s="18" t="s">
        <v>98</v>
      </c>
      <c r="Q16" s="20" t="s">
        <v>62</v>
      </c>
      <c r="R16" s="42" t="s">
        <v>99</v>
      </c>
      <c r="S16" s="4"/>
      <c r="T16" s="4"/>
      <c r="U16" s="4"/>
      <c r="V16" s="4"/>
      <c r="W16" s="4"/>
      <c r="X16" s="4"/>
      <c r="Y16" s="4"/>
      <c r="Z16" s="4"/>
      <c r="AA16" s="4"/>
      <c r="AB16" s="4"/>
      <c r="AC16" s="4"/>
    </row>
    <row r="17" spans="1:29" ht="71.25">
      <c r="A17" s="22" t="s">
        <v>37</v>
      </c>
      <c r="B17" s="24">
        <f>71040828+96619306</f>
        <v>167660134</v>
      </c>
      <c r="C17" s="23">
        <v>0</v>
      </c>
      <c r="D17" s="24">
        <f t="shared" si="0"/>
        <v>167660134</v>
      </c>
      <c r="E17" s="24">
        <f>71040828+96619306</f>
        <v>167660134</v>
      </c>
      <c r="F17" s="23">
        <v>0</v>
      </c>
      <c r="G17" s="24">
        <f t="shared" si="3"/>
        <v>167660134</v>
      </c>
      <c r="H17" s="24">
        <f>93323619.9351547+126925088.648212</f>
        <v>220248708.58336669</v>
      </c>
      <c r="I17" s="23"/>
      <c r="J17" s="24">
        <f t="shared" si="4"/>
        <v>220248708.58336669</v>
      </c>
      <c r="K17" s="38" t="s">
        <v>30</v>
      </c>
      <c r="L17" s="17" t="s">
        <v>75</v>
      </c>
      <c r="M17" s="17"/>
      <c r="N17" s="18" t="s">
        <v>84</v>
      </c>
      <c r="O17" s="19">
        <f>88720573.35+121389860.26</f>
        <v>210110433.61000001</v>
      </c>
      <c r="P17" s="18" t="s">
        <v>100</v>
      </c>
      <c r="Q17" s="20" t="s">
        <v>62</v>
      </c>
      <c r="R17" s="39" t="s">
        <v>93</v>
      </c>
      <c r="S17" s="4"/>
      <c r="T17" s="4"/>
      <c r="U17" s="4"/>
      <c r="V17" s="4"/>
      <c r="W17" s="4"/>
      <c r="X17" s="4"/>
      <c r="Y17" s="4"/>
      <c r="Z17" s="4"/>
      <c r="AA17" s="4"/>
      <c r="AB17" s="4"/>
      <c r="AC17" s="4"/>
    </row>
    <row r="18" spans="1:29" ht="15.75" customHeight="1">
      <c r="A18" s="44" t="s">
        <v>38</v>
      </c>
      <c r="B18" s="45">
        <f t="shared" ref="B18:E18" si="5">SUM(B4:B17)</f>
        <v>11327660134</v>
      </c>
      <c r="C18" s="45">
        <f t="shared" si="5"/>
        <v>18585000000</v>
      </c>
      <c r="D18" s="45">
        <f t="shared" si="5"/>
        <v>29912660134</v>
      </c>
      <c r="E18" s="45">
        <f t="shared" si="5"/>
        <v>7281549053.8400002</v>
      </c>
      <c r="F18" s="45">
        <f>SUM(F4:F17)+1867777770.73+853260124.99</f>
        <v>22598038968.720001</v>
      </c>
      <c r="G18" s="45">
        <f t="shared" ref="G18:H18" si="6">SUM(G4:G17)</f>
        <v>29912660134</v>
      </c>
      <c r="H18" s="45">
        <f t="shared" si="6"/>
        <v>10011793609.164053</v>
      </c>
      <c r="I18" s="45">
        <f>SUM(I4:I17)+2057644038.02+992408627.24</f>
        <v>29368007149.41</v>
      </c>
      <c r="J18" s="45">
        <f>SUM(J4:J17)</f>
        <v>39379800758.570076</v>
      </c>
      <c r="K18" s="46"/>
      <c r="L18" s="17"/>
      <c r="M18" s="47"/>
      <c r="N18" s="48"/>
      <c r="O18" s="19">
        <f>SUM(O4:O17)</f>
        <v>10964212079.520002</v>
      </c>
      <c r="P18" s="48"/>
      <c r="Q18" s="48"/>
      <c r="R18" s="49" t="s">
        <v>101</v>
      </c>
      <c r="S18" s="50"/>
      <c r="T18" s="50"/>
      <c r="U18" s="50"/>
      <c r="V18" s="50"/>
      <c r="W18" s="50"/>
      <c r="X18" s="50"/>
      <c r="Y18" s="50"/>
      <c r="Z18" s="50"/>
      <c r="AA18" s="50"/>
      <c r="AB18" s="50"/>
      <c r="AC18" s="50"/>
    </row>
    <row r="19" spans="1:29" ht="142.5">
      <c r="A19" s="22" t="s">
        <v>39</v>
      </c>
      <c r="B19" s="23">
        <v>0</v>
      </c>
      <c r="C19" s="23">
        <v>1500000000</v>
      </c>
      <c r="D19" s="24">
        <f t="shared" ref="D19:D22" si="7">SUM(B19:C19)</f>
        <v>1500000000</v>
      </c>
      <c r="E19" s="23">
        <v>0</v>
      </c>
      <c r="F19" s="23">
        <v>1500000000</v>
      </c>
      <c r="G19" s="24">
        <f t="shared" ref="G19:G22" si="8">SUM(E19:F19)</f>
        <v>1500000000</v>
      </c>
      <c r="H19" s="23">
        <v>0</v>
      </c>
      <c r="I19" s="23">
        <v>1938058350</v>
      </c>
      <c r="J19" s="24">
        <f t="shared" ref="J19:J22" si="9">SUM(H19:I19)</f>
        <v>1938058350</v>
      </c>
      <c r="K19" s="38" t="s">
        <v>40</v>
      </c>
      <c r="L19" s="17" t="s">
        <v>75</v>
      </c>
      <c r="M19" s="17"/>
      <c r="N19" s="18" t="s">
        <v>84</v>
      </c>
      <c r="O19" s="19">
        <f>1000000000+288688400+503282039.6</f>
        <v>1791970439.5999999</v>
      </c>
      <c r="P19" s="18" t="s">
        <v>102</v>
      </c>
      <c r="Q19" s="20" t="s">
        <v>86</v>
      </c>
      <c r="R19" s="39" t="s">
        <v>103</v>
      </c>
      <c r="S19" s="4"/>
      <c r="T19" s="4"/>
      <c r="U19" s="4"/>
      <c r="V19" s="4"/>
      <c r="W19" s="4"/>
      <c r="X19" s="4"/>
      <c r="Y19" s="4"/>
      <c r="Z19" s="4"/>
      <c r="AA19" s="4"/>
      <c r="AB19" s="4"/>
      <c r="AC19" s="4"/>
    </row>
    <row r="20" spans="1:29" ht="57">
      <c r="A20" s="51" t="s">
        <v>41</v>
      </c>
      <c r="B20" s="24">
        <v>4392583672</v>
      </c>
      <c r="C20" s="23">
        <v>0</v>
      </c>
      <c r="D20" s="24">
        <f t="shared" si="7"/>
        <v>4392583672</v>
      </c>
      <c r="E20" s="23">
        <v>4392583672</v>
      </c>
      <c r="F20" s="23">
        <v>0</v>
      </c>
      <c r="G20" s="24">
        <f t="shared" si="8"/>
        <v>4392583672</v>
      </c>
      <c r="H20" s="23">
        <v>5675388975.7299995</v>
      </c>
      <c r="I20" s="23">
        <v>0</v>
      </c>
      <c r="J20" s="24">
        <f t="shared" si="9"/>
        <v>5675388975.7299995</v>
      </c>
      <c r="K20" s="38" t="s">
        <v>40</v>
      </c>
      <c r="L20" s="17" t="s">
        <v>75</v>
      </c>
      <c r="M20" s="17"/>
      <c r="N20" s="18" t="s">
        <v>55</v>
      </c>
      <c r="O20" s="19">
        <f t="shared" ref="O20:O21" si="10">J20</f>
        <v>5675388975.7299995</v>
      </c>
      <c r="P20" s="18" t="s">
        <v>104</v>
      </c>
      <c r="Q20" s="20" t="s">
        <v>77</v>
      </c>
      <c r="R20" s="39" t="s">
        <v>105</v>
      </c>
      <c r="S20" s="4"/>
      <c r="T20" s="4"/>
      <c r="U20" s="4"/>
      <c r="V20" s="4"/>
      <c r="W20" s="4"/>
      <c r="X20" s="4"/>
      <c r="Y20" s="4"/>
      <c r="Z20" s="4"/>
      <c r="AA20" s="4"/>
      <c r="AB20" s="4"/>
      <c r="AC20" s="4"/>
    </row>
    <row r="21" spans="1:29" ht="57">
      <c r="A21" s="22" t="s">
        <v>42</v>
      </c>
      <c r="B21" s="24">
        <v>1774471573</v>
      </c>
      <c r="C21" s="23">
        <v>0</v>
      </c>
      <c r="D21" s="24">
        <f t="shared" si="7"/>
        <v>1774471573</v>
      </c>
      <c r="E21" s="23">
        <v>1774471573</v>
      </c>
      <c r="F21" s="23">
        <v>0</v>
      </c>
      <c r="G21" s="24">
        <f t="shared" si="8"/>
        <v>1774471573</v>
      </c>
      <c r="H21" s="23">
        <v>2292686299.2600002</v>
      </c>
      <c r="I21" s="23">
        <v>0</v>
      </c>
      <c r="J21" s="24">
        <f t="shared" si="9"/>
        <v>2292686299.2600002</v>
      </c>
      <c r="K21" s="38" t="s">
        <v>40</v>
      </c>
      <c r="L21" s="17" t="s">
        <v>75</v>
      </c>
      <c r="M21" s="17"/>
      <c r="N21" s="18" t="s">
        <v>55</v>
      </c>
      <c r="O21" s="19">
        <f t="shared" si="10"/>
        <v>2292686299.2600002</v>
      </c>
      <c r="P21" s="18" t="s">
        <v>104</v>
      </c>
      <c r="Q21" s="20" t="s">
        <v>77</v>
      </c>
      <c r="R21" s="39" t="s">
        <v>106</v>
      </c>
      <c r="S21" s="4"/>
      <c r="T21" s="4"/>
      <c r="U21" s="4"/>
      <c r="V21" s="4"/>
      <c r="W21" s="4"/>
      <c r="X21" s="4"/>
      <c r="Y21" s="4"/>
      <c r="Z21" s="4"/>
      <c r="AA21" s="4"/>
      <c r="AB21" s="4"/>
      <c r="AC21" s="4"/>
    </row>
    <row r="22" spans="1:29" ht="142.5">
      <c r="A22" s="22" t="s">
        <v>43</v>
      </c>
      <c r="B22" s="23">
        <v>0</v>
      </c>
      <c r="C22" s="24">
        <v>110051950</v>
      </c>
      <c r="D22" s="24">
        <f t="shared" si="7"/>
        <v>110051950</v>
      </c>
      <c r="E22" s="23">
        <v>0</v>
      </c>
      <c r="F22" s="23">
        <v>110051950</v>
      </c>
      <c r="G22" s="24">
        <f t="shared" si="8"/>
        <v>110051950</v>
      </c>
      <c r="H22" s="23">
        <v>0</v>
      </c>
      <c r="I22" s="23">
        <v>142191400.41999999</v>
      </c>
      <c r="J22" s="24">
        <f t="shared" si="9"/>
        <v>142191400.41999999</v>
      </c>
      <c r="K22" s="38" t="s">
        <v>40</v>
      </c>
      <c r="L22" s="17" t="s">
        <v>75</v>
      </c>
      <c r="M22" s="17"/>
      <c r="N22" s="18" t="s">
        <v>84</v>
      </c>
      <c r="O22" s="19">
        <f>72973858.65+8898284.61</f>
        <v>81872143.260000005</v>
      </c>
      <c r="P22" s="18" t="s">
        <v>90</v>
      </c>
      <c r="Q22" s="20" t="s">
        <v>86</v>
      </c>
      <c r="R22" s="39" t="s">
        <v>107</v>
      </c>
      <c r="S22" s="4"/>
      <c r="T22" s="4"/>
      <c r="U22" s="4"/>
      <c r="V22" s="4"/>
      <c r="W22" s="4"/>
      <c r="X22" s="4"/>
      <c r="Y22" s="4"/>
      <c r="Z22" s="4"/>
      <c r="AA22" s="4"/>
      <c r="AB22" s="4"/>
      <c r="AC22" s="4"/>
    </row>
    <row r="23" spans="1:29" ht="15.75" customHeight="1">
      <c r="A23" s="44" t="s">
        <v>44</v>
      </c>
      <c r="B23" s="45">
        <f t="shared" ref="B23:J23" si="11">SUM(B19:B22)</f>
        <v>6167055245</v>
      </c>
      <c r="C23" s="45">
        <f t="shared" si="11"/>
        <v>1610051950</v>
      </c>
      <c r="D23" s="45">
        <f t="shared" si="11"/>
        <v>7777107195</v>
      </c>
      <c r="E23" s="45">
        <f t="shared" si="11"/>
        <v>6167055245</v>
      </c>
      <c r="F23" s="45">
        <f t="shared" si="11"/>
        <v>1610051950</v>
      </c>
      <c r="G23" s="45">
        <f t="shared" si="11"/>
        <v>7777107195</v>
      </c>
      <c r="H23" s="45">
        <f t="shared" si="11"/>
        <v>7968075274.9899998</v>
      </c>
      <c r="I23" s="45">
        <f t="shared" si="11"/>
        <v>2080249750.4200001</v>
      </c>
      <c r="J23" s="45">
        <f t="shared" si="11"/>
        <v>10048325025.41</v>
      </c>
      <c r="K23" s="46"/>
      <c r="L23" s="17"/>
      <c r="M23" s="47"/>
      <c r="N23" s="48"/>
      <c r="O23" s="19">
        <f>SUM(O19:O22)</f>
        <v>9841917857.8500004</v>
      </c>
      <c r="P23" s="48"/>
      <c r="Q23" s="48"/>
      <c r="R23" s="49" t="s">
        <v>101</v>
      </c>
      <c r="S23" s="50"/>
      <c r="T23" s="50"/>
      <c r="U23" s="50"/>
      <c r="V23" s="50"/>
      <c r="W23" s="50"/>
      <c r="X23" s="50"/>
      <c r="Y23" s="50"/>
      <c r="Z23" s="50"/>
      <c r="AA23" s="50"/>
      <c r="AB23" s="50"/>
      <c r="AC23" s="50"/>
    </row>
    <row r="24" spans="1:29" ht="15.75" customHeight="1">
      <c r="A24" s="68" t="s">
        <v>45</v>
      </c>
      <c r="B24" s="69">
        <f t="shared" ref="B24:J24" si="12">B18+B23</f>
        <v>17494715379</v>
      </c>
      <c r="C24" s="69">
        <f t="shared" si="12"/>
        <v>20195051950</v>
      </c>
      <c r="D24" s="69">
        <f t="shared" si="12"/>
        <v>37689767329</v>
      </c>
      <c r="E24" s="69">
        <f t="shared" si="12"/>
        <v>13448604298.84</v>
      </c>
      <c r="F24" s="69">
        <f t="shared" si="12"/>
        <v>24208090918.720001</v>
      </c>
      <c r="G24" s="69">
        <f t="shared" si="12"/>
        <v>37689767329</v>
      </c>
      <c r="H24" s="69">
        <f t="shared" si="12"/>
        <v>17979868884.154053</v>
      </c>
      <c r="I24" s="69">
        <f t="shared" si="12"/>
        <v>31448256899.830002</v>
      </c>
      <c r="J24" s="69">
        <f t="shared" si="12"/>
        <v>49428125783.980072</v>
      </c>
      <c r="K24" s="24"/>
      <c r="L24" s="17"/>
      <c r="M24" s="17"/>
      <c r="N24" s="18"/>
      <c r="O24" s="54">
        <f>O23+O18</f>
        <v>20806129937.370003</v>
      </c>
      <c r="P24" s="18"/>
      <c r="Q24" s="18"/>
      <c r="R24" s="49" t="s">
        <v>7</v>
      </c>
      <c r="S24" s="4"/>
      <c r="T24" s="4"/>
      <c r="U24" s="4"/>
      <c r="V24" s="4"/>
      <c r="W24" s="4"/>
      <c r="X24" s="4"/>
      <c r="Y24" s="4"/>
      <c r="Z24" s="4"/>
      <c r="AA24" s="4"/>
      <c r="AB24" s="4"/>
      <c r="AC24" s="4"/>
    </row>
    <row r="25" spans="1:29" ht="15.75" customHeight="1">
      <c r="A25" s="55"/>
      <c r="B25" s="55"/>
      <c r="C25" s="55"/>
      <c r="D25" s="55"/>
      <c r="E25" s="55"/>
      <c r="F25" s="55"/>
      <c r="G25" s="55"/>
      <c r="H25" s="55"/>
      <c r="I25" s="55"/>
      <c r="J25" s="56"/>
      <c r="K25" s="57"/>
      <c r="L25" s="58"/>
      <c r="M25" s="59"/>
      <c r="N25" s="58"/>
      <c r="O25" s="60">
        <f>O24/J24</f>
        <v>0.42093705976837553</v>
      </c>
      <c r="P25" s="58"/>
      <c r="Q25" s="58"/>
      <c r="R25" s="58"/>
      <c r="S25" s="4"/>
      <c r="T25" s="4"/>
      <c r="U25" s="4"/>
      <c r="V25" s="4"/>
      <c r="W25" s="4"/>
      <c r="X25" s="4"/>
      <c r="Y25" s="4"/>
      <c r="Z25" s="4"/>
      <c r="AA25" s="4"/>
      <c r="AB25" s="4"/>
      <c r="AC25" s="4"/>
    </row>
    <row r="26" spans="1:29" ht="15.75" customHeight="1">
      <c r="A26" s="55"/>
      <c r="B26" s="55"/>
      <c r="C26" s="55"/>
      <c r="D26" s="55"/>
      <c r="E26" s="55"/>
      <c r="F26" s="55"/>
      <c r="G26" s="55"/>
      <c r="H26" s="55"/>
      <c r="I26" s="55"/>
      <c r="J26" s="61"/>
      <c r="K26" s="57"/>
      <c r="L26" s="58"/>
      <c r="M26" s="59"/>
      <c r="N26" s="58"/>
      <c r="O26" s="62"/>
      <c r="P26" s="58"/>
      <c r="Q26" s="58"/>
      <c r="R26" s="58"/>
      <c r="S26" s="4"/>
      <c r="T26" s="4"/>
      <c r="U26" s="4"/>
      <c r="V26" s="4"/>
      <c r="W26" s="4"/>
      <c r="X26" s="4"/>
      <c r="Y26" s="4"/>
      <c r="Z26" s="4"/>
      <c r="AA26" s="4"/>
      <c r="AB26" s="4"/>
      <c r="AC26" s="4"/>
    </row>
    <row r="27" spans="1:29"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row r="1003" spans="1:29"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1"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108</v>
      </c>
      <c r="F2" s="158"/>
      <c r="G2" s="159"/>
      <c r="H2" s="160" t="s">
        <v>109</v>
      </c>
      <c r="I2" s="158"/>
      <c r="J2" s="159"/>
      <c r="K2" s="161" t="s">
        <v>4</v>
      </c>
      <c r="L2" s="162" t="s">
        <v>48</v>
      </c>
      <c r="M2" s="162" t="s">
        <v>110</v>
      </c>
      <c r="N2" s="162" t="s">
        <v>111</v>
      </c>
      <c r="O2" s="162" t="s">
        <v>4</v>
      </c>
      <c r="P2" s="162" t="s">
        <v>112</v>
      </c>
      <c r="Q2" s="162" t="s">
        <v>113</v>
      </c>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154"/>
      <c r="N3" s="154"/>
      <c r="O3" s="154"/>
      <c r="P3" s="154"/>
      <c r="Q3" s="154"/>
      <c r="R3" s="2"/>
      <c r="S3" s="2"/>
      <c r="T3" s="2"/>
      <c r="U3" s="2"/>
      <c r="V3" s="2"/>
      <c r="W3" s="2"/>
      <c r="X3" s="2"/>
      <c r="Y3" s="2"/>
      <c r="Z3" s="2"/>
      <c r="AA3" s="2"/>
      <c r="AB3" s="2"/>
    </row>
    <row r="4" spans="1:28" ht="142.5">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t="s">
        <v>55</v>
      </c>
      <c r="N4" s="19">
        <f>1000000+46772777.86</f>
        <v>47772777.859999999</v>
      </c>
      <c r="O4" s="18" t="s">
        <v>56</v>
      </c>
      <c r="P4" s="20" t="s">
        <v>57</v>
      </c>
      <c r="Q4" s="21" t="s">
        <v>58</v>
      </c>
      <c r="R4" s="4"/>
      <c r="S4" s="4"/>
      <c r="T4" s="4"/>
      <c r="U4" s="4"/>
      <c r="V4" s="4"/>
      <c r="W4" s="4"/>
      <c r="X4" s="4"/>
      <c r="Y4" s="4"/>
      <c r="Z4" s="4"/>
      <c r="AA4" s="4"/>
      <c r="AB4" s="4"/>
    </row>
    <row r="5" spans="1:28" ht="57">
      <c r="A5" s="22" t="s">
        <v>10</v>
      </c>
      <c r="B5" s="23">
        <v>0</v>
      </c>
      <c r="C5" s="24">
        <v>4400000000</v>
      </c>
      <c r="D5" s="24">
        <f t="shared" si="0"/>
        <v>4400000000</v>
      </c>
      <c r="E5" s="25">
        <v>0</v>
      </c>
      <c r="F5" s="26">
        <v>4400000000</v>
      </c>
      <c r="G5" s="26">
        <f t="shared" si="1"/>
        <v>4400000000</v>
      </c>
      <c r="H5" s="26">
        <v>0</v>
      </c>
      <c r="I5" s="26">
        <f>2000000000+282312603.74+2325834136.37+8387.5+1245000000</f>
        <v>5853155127.6099997</v>
      </c>
      <c r="J5" s="26">
        <f t="shared" si="2"/>
        <v>5853155127.6099997</v>
      </c>
      <c r="K5" s="27" t="s">
        <v>114</v>
      </c>
      <c r="L5" s="20" t="s">
        <v>115</v>
      </c>
      <c r="M5" s="18" t="s">
        <v>55</v>
      </c>
      <c r="N5" s="19">
        <v>4320000000</v>
      </c>
      <c r="O5" s="18" t="s">
        <v>61</v>
      </c>
      <c r="P5" s="20" t="s">
        <v>62</v>
      </c>
      <c r="Q5" s="21" t="s">
        <v>63</v>
      </c>
      <c r="R5" s="4"/>
      <c r="S5" s="4"/>
      <c r="T5" s="4"/>
      <c r="U5" s="4"/>
      <c r="V5" s="4"/>
      <c r="W5" s="4"/>
      <c r="X5" s="4"/>
      <c r="Y5" s="4"/>
      <c r="Z5" s="4"/>
      <c r="AA5" s="4"/>
      <c r="AB5" s="4"/>
    </row>
    <row r="6" spans="1:28" ht="384.75">
      <c r="A6" s="28" t="s">
        <v>12</v>
      </c>
      <c r="B6" s="29">
        <v>2375000000</v>
      </c>
      <c r="C6" s="30">
        <v>125000000</v>
      </c>
      <c r="D6" s="30">
        <f t="shared" si="0"/>
        <v>2500000000</v>
      </c>
      <c r="E6" s="31">
        <v>632222229.26999998</v>
      </c>
      <c r="F6" s="31" t="s">
        <v>116</v>
      </c>
      <c r="G6" s="31">
        <v>2500000000</v>
      </c>
      <c r="H6" s="31">
        <v>1224793496.9484999</v>
      </c>
      <c r="I6" s="31" t="s">
        <v>117</v>
      </c>
      <c r="J6" s="31">
        <v>3275637769.6900001</v>
      </c>
      <c r="K6" s="32" t="s">
        <v>118</v>
      </c>
      <c r="L6" s="20" t="s">
        <v>119</v>
      </c>
      <c r="M6" s="18" t="s">
        <v>55</v>
      </c>
      <c r="N6" s="19">
        <f>485298345.97+154304712.96+200466868.29</f>
        <v>840069927.22000003</v>
      </c>
      <c r="O6" s="18" t="s">
        <v>120</v>
      </c>
      <c r="P6" s="20" t="s">
        <v>69</v>
      </c>
      <c r="Q6" s="33" t="s">
        <v>70</v>
      </c>
      <c r="R6" s="5"/>
      <c r="S6" s="5"/>
      <c r="T6" s="5"/>
      <c r="U6" s="5"/>
      <c r="V6" s="5"/>
      <c r="W6" s="5"/>
      <c r="X6" s="5"/>
      <c r="Y6" s="5"/>
      <c r="Z6" s="5"/>
      <c r="AA6" s="5"/>
      <c r="AB6" s="5"/>
    </row>
    <row r="7" spans="1:28" ht="384.75">
      <c r="A7" s="28" t="s">
        <v>16</v>
      </c>
      <c r="B7" s="29">
        <v>1500000000</v>
      </c>
      <c r="C7" s="23">
        <v>0</v>
      </c>
      <c r="D7" s="24">
        <f t="shared" si="0"/>
        <v>1500000000</v>
      </c>
      <c r="E7" s="31">
        <v>646739875.01411796</v>
      </c>
      <c r="F7" s="31" t="s">
        <v>121</v>
      </c>
      <c r="G7" s="34">
        <v>1500000000</v>
      </c>
      <c r="H7" s="35">
        <v>1011674353.9216599</v>
      </c>
      <c r="I7" s="31" t="s">
        <v>122</v>
      </c>
      <c r="J7" s="31">
        <v>1965382661.8193099</v>
      </c>
      <c r="K7" s="36" t="s">
        <v>123</v>
      </c>
      <c r="L7" s="20" t="s">
        <v>119</v>
      </c>
      <c r="M7" s="37" t="s">
        <v>55</v>
      </c>
      <c r="N7" s="19">
        <f>214194174.68+0+132005321.23</f>
        <v>346199495.91000003</v>
      </c>
      <c r="O7" s="18" t="s">
        <v>124</v>
      </c>
      <c r="P7" s="20" t="s">
        <v>69</v>
      </c>
      <c r="Q7" s="33" t="s">
        <v>70</v>
      </c>
      <c r="R7" s="5"/>
      <c r="S7" s="5"/>
      <c r="T7" s="5"/>
      <c r="U7" s="5"/>
      <c r="V7" s="5"/>
      <c r="W7" s="5"/>
      <c r="X7" s="5"/>
      <c r="Y7" s="5"/>
      <c r="Z7" s="5"/>
      <c r="AA7" s="5"/>
      <c r="AB7" s="5"/>
    </row>
    <row r="8" spans="1:28" ht="128.25">
      <c r="A8" s="28" t="s">
        <v>20</v>
      </c>
      <c r="B8" s="23">
        <v>5000000000</v>
      </c>
      <c r="C8" s="23">
        <v>0</v>
      </c>
      <c r="D8" s="24">
        <f t="shared" si="0"/>
        <v>5000000000</v>
      </c>
      <c r="E8" s="23">
        <v>5000000000</v>
      </c>
      <c r="F8" s="23">
        <v>0</v>
      </c>
      <c r="G8" s="24">
        <f t="shared" ref="G8:G17" si="3">SUM(E8:F8)</f>
        <v>5000000000</v>
      </c>
      <c r="H8" s="23">
        <v>6443442000</v>
      </c>
      <c r="I8" s="23">
        <v>0</v>
      </c>
      <c r="J8" s="24">
        <f t="shared" ref="J8:J17" si="4">SUM(H8:I8)</f>
        <v>6443442000</v>
      </c>
      <c r="K8" s="38" t="s">
        <v>21</v>
      </c>
      <c r="L8" s="20" t="s">
        <v>77</v>
      </c>
      <c r="M8" s="18" t="s">
        <v>55</v>
      </c>
      <c r="N8" s="19">
        <v>0</v>
      </c>
      <c r="O8" s="18" t="s">
        <v>76</v>
      </c>
      <c r="P8" s="20" t="s">
        <v>77</v>
      </c>
      <c r="Q8" s="39" t="s">
        <v>78</v>
      </c>
      <c r="R8" s="4"/>
      <c r="S8" s="4"/>
      <c r="T8" s="4"/>
      <c r="U8" s="4"/>
      <c r="V8" s="4"/>
      <c r="W8" s="4"/>
      <c r="X8" s="4"/>
      <c r="Y8" s="4"/>
      <c r="Z8" s="4"/>
      <c r="AA8" s="4"/>
      <c r="AB8" s="4"/>
    </row>
    <row r="9" spans="1:28" ht="399">
      <c r="A9" s="28" t="s">
        <v>22</v>
      </c>
      <c r="B9" s="23">
        <v>1550000000</v>
      </c>
      <c r="C9" s="23">
        <v>0</v>
      </c>
      <c r="D9" s="24">
        <f t="shared" si="0"/>
        <v>1550000000</v>
      </c>
      <c r="E9" s="23">
        <f>1550000000-1417001073</f>
        <v>132998927</v>
      </c>
      <c r="F9" s="23">
        <v>1417001073</v>
      </c>
      <c r="G9" s="24">
        <f t="shared" si="3"/>
        <v>1550000000</v>
      </c>
      <c r="H9" s="23">
        <v>173993978.78</v>
      </c>
      <c r="I9" s="23">
        <f>(1417001073-170000000-400000000-400000000)+211773067.2+503338675.12+526057127.69</f>
        <v>1688169943.0100002</v>
      </c>
      <c r="J9" s="24">
        <f t="shared" si="4"/>
        <v>1862163921.7900002</v>
      </c>
      <c r="K9" s="66" t="s">
        <v>125</v>
      </c>
      <c r="L9" s="20" t="s">
        <v>115</v>
      </c>
      <c r="M9" s="18" t="s">
        <v>55</v>
      </c>
      <c r="N9" s="19">
        <f>0+481992</f>
        <v>481992</v>
      </c>
      <c r="O9" s="18" t="s">
        <v>80</v>
      </c>
      <c r="P9" s="20" t="s">
        <v>81</v>
      </c>
      <c r="Q9" s="39" t="s">
        <v>82</v>
      </c>
      <c r="R9" s="4"/>
      <c r="S9" s="4"/>
      <c r="T9" s="4"/>
      <c r="U9" s="4"/>
      <c r="V9" s="4"/>
      <c r="W9" s="4"/>
      <c r="X9" s="4"/>
      <c r="Y9" s="4"/>
      <c r="Z9" s="4"/>
      <c r="AA9" s="4"/>
      <c r="AB9" s="4"/>
    </row>
    <row r="10" spans="1:28" ht="142.5">
      <c r="A10" s="22" t="s">
        <v>24</v>
      </c>
      <c r="B10" s="23">
        <v>0</v>
      </c>
      <c r="C10" s="23">
        <v>2050000000</v>
      </c>
      <c r="D10" s="24">
        <f t="shared" si="0"/>
        <v>2050000000</v>
      </c>
      <c r="E10" s="23">
        <v>0</v>
      </c>
      <c r="F10" s="23">
        <v>2050000000</v>
      </c>
      <c r="G10" s="24">
        <f t="shared" si="3"/>
        <v>2050000000</v>
      </c>
      <c r="H10" s="23">
        <v>0</v>
      </c>
      <c r="I10" s="23">
        <v>3257429489.54</v>
      </c>
      <c r="J10" s="24">
        <f t="shared" si="4"/>
        <v>3257429489.54</v>
      </c>
      <c r="K10" s="38" t="s">
        <v>25</v>
      </c>
      <c r="L10" s="20" t="s">
        <v>126</v>
      </c>
      <c r="M10" s="18" t="s">
        <v>84</v>
      </c>
      <c r="N10" s="19">
        <v>4577524.4800000004</v>
      </c>
      <c r="O10" s="67" t="s">
        <v>127</v>
      </c>
      <c r="P10" s="20" t="s">
        <v>86</v>
      </c>
      <c r="Q10" s="39" t="s">
        <v>87</v>
      </c>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4943433101.64+(3*541384129.09)</f>
        <v>6567585488.9099998</v>
      </c>
      <c r="J11" s="24">
        <f t="shared" si="4"/>
        <v>6567585488.9099998</v>
      </c>
      <c r="K11" s="38" t="s">
        <v>27</v>
      </c>
      <c r="L11" s="20" t="s">
        <v>126</v>
      </c>
      <c r="M11" s="18" t="s">
        <v>84</v>
      </c>
      <c r="N11" s="41">
        <v>1845176380.3900001</v>
      </c>
      <c r="O11" s="67" t="s">
        <v>128</v>
      </c>
      <c r="P11" s="20" t="s">
        <v>86</v>
      </c>
      <c r="Q11" s="39" t="s">
        <v>89</v>
      </c>
      <c r="R11" s="4"/>
      <c r="S11" s="4"/>
      <c r="T11" s="4"/>
      <c r="U11" s="4"/>
      <c r="V11" s="4"/>
      <c r="W11" s="4"/>
      <c r="X11" s="4"/>
      <c r="Y11" s="4"/>
      <c r="Z11" s="4"/>
      <c r="AA11" s="4"/>
      <c r="AB11" s="4"/>
    </row>
    <row r="12" spans="1:28" ht="142.5">
      <c r="A12" s="22" t="s">
        <v>28</v>
      </c>
      <c r="B12" s="23">
        <v>0</v>
      </c>
      <c r="C12" s="23">
        <v>3650000000</v>
      </c>
      <c r="D12" s="24">
        <f t="shared" si="0"/>
        <v>3650000000</v>
      </c>
      <c r="E12" s="23">
        <v>0</v>
      </c>
      <c r="F12" s="23">
        <v>3650000000</v>
      </c>
      <c r="G12" s="24">
        <f t="shared" si="3"/>
        <v>3650000000</v>
      </c>
      <c r="H12" s="23">
        <v>0</v>
      </c>
      <c r="I12" s="23">
        <v>4754050837.0100002</v>
      </c>
      <c r="J12" s="24">
        <f t="shared" si="4"/>
        <v>4754050837.0100002</v>
      </c>
      <c r="K12" s="38" t="s">
        <v>25</v>
      </c>
      <c r="L12" s="20" t="s">
        <v>126</v>
      </c>
      <c r="M12" s="18" t="s">
        <v>84</v>
      </c>
      <c r="N12" s="19">
        <v>2846026487.5599999</v>
      </c>
      <c r="O12" s="18" t="s">
        <v>90</v>
      </c>
      <c r="P12" s="20" t="s">
        <v>86</v>
      </c>
      <c r="Q12" s="39" t="s">
        <v>89</v>
      </c>
      <c r="R12" s="4"/>
      <c r="S12" s="4"/>
      <c r="T12" s="4"/>
      <c r="U12" s="4"/>
      <c r="V12" s="4"/>
      <c r="W12" s="4"/>
      <c r="X12" s="4"/>
      <c r="Y12" s="4"/>
      <c r="Z12" s="4"/>
      <c r="AA12" s="4"/>
      <c r="AB12" s="4"/>
    </row>
    <row r="13" spans="1:28" ht="85.5">
      <c r="A13" s="22" t="s">
        <v>29</v>
      </c>
      <c r="B13" s="24">
        <v>135000000</v>
      </c>
      <c r="C13" s="23">
        <v>0</v>
      </c>
      <c r="D13" s="24">
        <f t="shared" si="0"/>
        <v>135000000</v>
      </c>
      <c r="E13" s="23">
        <v>135000000</v>
      </c>
      <c r="F13" s="23">
        <v>0</v>
      </c>
      <c r="G13" s="24">
        <f t="shared" si="3"/>
        <v>135000000</v>
      </c>
      <c r="H13" s="23">
        <v>176884439.56</v>
      </c>
      <c r="I13" s="23">
        <v>0</v>
      </c>
      <c r="J13" s="24">
        <f t="shared" si="4"/>
        <v>176884439.56</v>
      </c>
      <c r="K13" s="38" t="s">
        <v>129</v>
      </c>
      <c r="L13" s="20" t="s">
        <v>115</v>
      </c>
      <c r="M13" s="18" t="s">
        <v>55</v>
      </c>
      <c r="N13" s="19">
        <v>18066437.449999999</v>
      </c>
      <c r="O13" s="18" t="s">
        <v>91</v>
      </c>
      <c r="P13" s="20" t="s">
        <v>92</v>
      </c>
      <c r="Q13" s="39" t="s">
        <v>93</v>
      </c>
      <c r="R13" s="4"/>
      <c r="S13" s="4"/>
      <c r="T13" s="4"/>
      <c r="U13" s="4"/>
      <c r="V13" s="4"/>
      <c r="W13" s="4"/>
      <c r="X13" s="4"/>
      <c r="Y13" s="4"/>
      <c r="Z13" s="4"/>
      <c r="AA13" s="4"/>
      <c r="AB13" s="4"/>
    </row>
    <row r="14" spans="1:28" ht="142.5">
      <c r="A14" s="22" t="s">
        <v>31</v>
      </c>
      <c r="B14" s="23">
        <v>0</v>
      </c>
      <c r="C14" s="23">
        <v>310000000</v>
      </c>
      <c r="D14" s="24">
        <f t="shared" si="0"/>
        <v>310000000</v>
      </c>
      <c r="E14" s="23">
        <v>0</v>
      </c>
      <c r="F14" s="23">
        <v>110000000</v>
      </c>
      <c r="G14" s="24">
        <f t="shared" si="3"/>
        <v>110000000</v>
      </c>
      <c r="H14" s="23">
        <v>0</v>
      </c>
      <c r="I14" s="23">
        <v>269779215.51999998</v>
      </c>
      <c r="J14" s="24">
        <f t="shared" si="4"/>
        <v>269779215.51999998</v>
      </c>
      <c r="K14" s="38" t="s">
        <v>32</v>
      </c>
      <c r="L14" s="20" t="s">
        <v>130</v>
      </c>
      <c r="M14" s="18" t="s">
        <v>84</v>
      </c>
      <c r="N14" s="19">
        <f>30603937.56+24829254.03</f>
        <v>55433191.590000004</v>
      </c>
      <c r="O14" s="67" t="s">
        <v>131</v>
      </c>
      <c r="P14" s="20" t="s">
        <v>86</v>
      </c>
      <c r="Q14" s="42" t="s">
        <v>95</v>
      </c>
      <c r="R14" s="4"/>
      <c r="S14" s="4"/>
      <c r="T14" s="4"/>
      <c r="U14" s="4"/>
      <c r="V14" s="4"/>
      <c r="W14" s="4"/>
      <c r="X14" s="4"/>
      <c r="Y14" s="4"/>
      <c r="Z14" s="4"/>
      <c r="AA14" s="4"/>
      <c r="AB14" s="4"/>
    </row>
    <row r="15" spans="1:28" ht="142.5">
      <c r="A15" s="43" t="s">
        <v>33</v>
      </c>
      <c r="B15" s="24">
        <v>0</v>
      </c>
      <c r="C15" s="23">
        <v>0</v>
      </c>
      <c r="D15" s="24">
        <f t="shared" si="0"/>
        <v>0</v>
      </c>
      <c r="E15" s="23">
        <v>0</v>
      </c>
      <c r="F15" s="23">
        <v>200000000</v>
      </c>
      <c r="G15" s="24">
        <f t="shared" si="3"/>
        <v>200000000</v>
      </c>
      <c r="H15" s="23">
        <v>0</v>
      </c>
      <c r="I15" s="23">
        <v>213386339.03</v>
      </c>
      <c r="J15" s="24">
        <f t="shared" si="4"/>
        <v>213386339.03</v>
      </c>
      <c r="K15" s="38" t="s">
        <v>34</v>
      </c>
      <c r="L15" s="20"/>
      <c r="M15" s="18" t="s">
        <v>55</v>
      </c>
      <c r="N15" s="19">
        <v>0</v>
      </c>
      <c r="O15" s="67" t="s">
        <v>132</v>
      </c>
      <c r="P15" s="20" t="s">
        <v>86</v>
      </c>
      <c r="Q15" s="42" t="s">
        <v>97</v>
      </c>
      <c r="R15" s="4"/>
      <c r="S15" s="4"/>
      <c r="T15" s="4"/>
      <c r="U15" s="4"/>
      <c r="V15" s="4"/>
      <c r="W15" s="4"/>
      <c r="X15" s="4"/>
      <c r="Y15" s="4"/>
      <c r="Z15" s="4"/>
      <c r="AA15" s="4"/>
      <c r="AB15" s="4"/>
    </row>
    <row r="16" spans="1:28" ht="71.25">
      <c r="A16" s="28" t="s">
        <v>35</v>
      </c>
      <c r="B16" s="23">
        <v>600000000</v>
      </c>
      <c r="C16" s="23">
        <v>100000000</v>
      </c>
      <c r="D16" s="24">
        <f t="shared" si="0"/>
        <v>700000000</v>
      </c>
      <c r="E16" s="23">
        <v>600000000</v>
      </c>
      <c r="F16" s="23">
        <v>100000000</v>
      </c>
      <c r="G16" s="24">
        <f t="shared" si="3"/>
        <v>700000000</v>
      </c>
      <c r="H16" s="23">
        <v>773213040</v>
      </c>
      <c r="I16" s="23">
        <v>128868840</v>
      </c>
      <c r="J16" s="24">
        <f t="shared" si="4"/>
        <v>902081880</v>
      </c>
      <c r="K16" s="38" t="s">
        <v>36</v>
      </c>
      <c r="L16" s="20"/>
      <c r="M16" s="18" t="s">
        <v>55</v>
      </c>
      <c r="N16" s="19">
        <v>430297431.44999999</v>
      </c>
      <c r="O16" s="18" t="s">
        <v>98</v>
      </c>
      <c r="P16" s="20" t="s">
        <v>62</v>
      </c>
      <c r="Q16" s="42" t="s">
        <v>99</v>
      </c>
      <c r="R16" s="4"/>
      <c r="S16" s="4"/>
      <c r="T16" s="4"/>
      <c r="U16" s="4"/>
      <c r="V16" s="4"/>
      <c r="W16" s="4"/>
      <c r="X16" s="4"/>
      <c r="Y16" s="4"/>
      <c r="Z16" s="4"/>
      <c r="AA16" s="4"/>
      <c r="AB16" s="4"/>
    </row>
    <row r="17" spans="1:28" ht="71.25">
      <c r="A17" s="22" t="s">
        <v>37</v>
      </c>
      <c r="B17" s="24">
        <f>71040828+96619306</f>
        <v>167660134</v>
      </c>
      <c r="C17" s="23">
        <v>0</v>
      </c>
      <c r="D17" s="24">
        <f t="shared" si="0"/>
        <v>167660134</v>
      </c>
      <c r="E17" s="24">
        <f>71040828+96619306</f>
        <v>167660134</v>
      </c>
      <c r="F17" s="23">
        <v>0</v>
      </c>
      <c r="G17" s="24">
        <f t="shared" si="3"/>
        <v>167660134</v>
      </c>
      <c r="H17" s="24">
        <f>93081607.75+126595939.2</f>
        <v>219677546.94999999</v>
      </c>
      <c r="I17" s="23"/>
      <c r="J17" s="24">
        <f t="shared" si="4"/>
        <v>219677546.94999999</v>
      </c>
      <c r="K17" s="38" t="s">
        <v>133</v>
      </c>
      <c r="L17" s="20" t="s">
        <v>115</v>
      </c>
      <c r="M17" s="18" t="s">
        <v>84</v>
      </c>
      <c r="N17" s="19">
        <f>88720573.35+121389860.26</f>
        <v>210110433.61000001</v>
      </c>
      <c r="O17" s="18" t="s">
        <v>100</v>
      </c>
      <c r="P17" s="20" t="s">
        <v>62</v>
      </c>
      <c r="Q17" s="39" t="s">
        <v>93</v>
      </c>
      <c r="R17" s="4"/>
      <c r="S17" s="4"/>
      <c r="T17" s="4"/>
      <c r="U17" s="4"/>
      <c r="V17" s="4"/>
      <c r="W17" s="4"/>
      <c r="X17" s="4"/>
      <c r="Y17" s="4"/>
      <c r="Z17" s="4"/>
      <c r="AA17" s="4"/>
      <c r="AB17" s="4"/>
    </row>
    <row r="18" spans="1:28" ht="15.75" customHeight="1">
      <c r="A18" s="44" t="s">
        <v>38</v>
      </c>
      <c r="B18" s="45">
        <f t="shared" ref="B18:E18" si="5">SUM(B4:B17)</f>
        <v>11327660134</v>
      </c>
      <c r="C18" s="45">
        <f t="shared" si="5"/>
        <v>18585000000</v>
      </c>
      <c r="D18" s="45">
        <f t="shared" si="5"/>
        <v>29912660134</v>
      </c>
      <c r="E18" s="45">
        <f t="shared" si="5"/>
        <v>7314621165.2841177</v>
      </c>
      <c r="F18" s="45">
        <f>SUM(F4:F17)+1867777770.73+853260124.99</f>
        <v>22598038968.720001</v>
      </c>
      <c r="G18" s="45">
        <f t="shared" ref="G18:H18" si="6">SUM(G4:G17)</f>
        <v>29912660134</v>
      </c>
      <c r="H18" s="45">
        <f t="shared" si="6"/>
        <v>10023678856.16016</v>
      </c>
      <c r="I18" s="45">
        <f>SUM(I4:I17)+2050844272.74+953708307.9</f>
        <v>29196296027.139999</v>
      </c>
      <c r="J18" s="45">
        <f>SUM(J4:J17)</f>
        <v>39219974883.299301</v>
      </c>
      <c r="K18" s="46"/>
      <c r="L18" s="20"/>
      <c r="M18" s="48"/>
      <c r="N18" s="19">
        <f>SUM(N4:N17)</f>
        <v>10964212079.520002</v>
      </c>
      <c r="O18" s="48"/>
      <c r="P18" s="48"/>
      <c r="Q18" s="49" t="s">
        <v>101</v>
      </c>
      <c r="R18" s="50"/>
      <c r="S18" s="50"/>
      <c r="T18" s="50"/>
      <c r="U18" s="50"/>
      <c r="V18" s="50"/>
      <c r="W18" s="50"/>
      <c r="X18" s="50"/>
      <c r="Y18" s="50"/>
      <c r="Z18" s="50"/>
      <c r="AA18" s="50"/>
      <c r="AB18" s="50"/>
    </row>
    <row r="19" spans="1:28" ht="142.5">
      <c r="A19" s="22" t="s">
        <v>39</v>
      </c>
      <c r="B19" s="23">
        <v>0</v>
      </c>
      <c r="C19" s="23">
        <v>1500000000</v>
      </c>
      <c r="D19" s="24">
        <f t="shared" ref="D19:D22" si="7">SUM(B19:C19)</f>
        <v>1500000000</v>
      </c>
      <c r="E19" s="23">
        <v>0</v>
      </c>
      <c r="F19" s="23">
        <v>1500000000</v>
      </c>
      <c r="G19" s="24">
        <f t="shared" ref="G19:G22" si="8">SUM(E19:F19)</f>
        <v>1500000000</v>
      </c>
      <c r="H19" s="23">
        <v>0</v>
      </c>
      <c r="I19" s="23">
        <v>1933032600</v>
      </c>
      <c r="J19" s="24">
        <f t="shared" ref="J19:J22" si="9">SUM(H19:I19)</f>
        <v>1933032600</v>
      </c>
      <c r="K19" s="38" t="s">
        <v>40</v>
      </c>
      <c r="L19" s="20" t="s">
        <v>77</v>
      </c>
      <c r="M19" s="18" t="s">
        <v>84</v>
      </c>
      <c r="N19" s="19">
        <f>1000000000+288688400+503282039.6</f>
        <v>1791970439.5999999</v>
      </c>
      <c r="O19" s="18" t="s">
        <v>102</v>
      </c>
      <c r="P19" s="20" t="s">
        <v>86</v>
      </c>
      <c r="Q19" s="39" t="s">
        <v>134</v>
      </c>
      <c r="R19" s="4"/>
      <c r="S19" s="4"/>
      <c r="T19" s="4"/>
      <c r="U19" s="4"/>
      <c r="V19" s="4"/>
      <c r="W19" s="4"/>
      <c r="X19" s="4"/>
      <c r="Y19" s="4"/>
      <c r="Z19" s="4"/>
      <c r="AA19" s="4"/>
      <c r="AB19" s="4"/>
    </row>
    <row r="20" spans="1:28" ht="57">
      <c r="A20" s="22" t="s">
        <v>41</v>
      </c>
      <c r="B20" s="24">
        <v>4392583672</v>
      </c>
      <c r="C20" s="23">
        <v>0</v>
      </c>
      <c r="D20" s="24">
        <f t="shared" si="7"/>
        <v>4392583672</v>
      </c>
      <c r="E20" s="23">
        <v>4392583672</v>
      </c>
      <c r="F20" s="23">
        <v>0</v>
      </c>
      <c r="G20" s="24">
        <f t="shared" si="8"/>
        <v>4392583672</v>
      </c>
      <c r="H20" s="23">
        <v>5660671624.1400003</v>
      </c>
      <c r="I20" s="23">
        <v>0</v>
      </c>
      <c r="J20" s="24">
        <f t="shared" si="9"/>
        <v>5660671624.1400003</v>
      </c>
      <c r="K20" s="38" t="s">
        <v>40</v>
      </c>
      <c r="L20" s="20" t="s">
        <v>77</v>
      </c>
      <c r="M20" s="18" t="s">
        <v>55</v>
      </c>
      <c r="N20" s="19">
        <f t="shared" ref="N20:N21" si="10">J20</f>
        <v>5660671624.1400003</v>
      </c>
      <c r="O20" s="18" t="s">
        <v>104</v>
      </c>
      <c r="P20" s="20" t="s">
        <v>77</v>
      </c>
      <c r="Q20" s="39" t="s">
        <v>135</v>
      </c>
      <c r="R20" s="4"/>
      <c r="S20" s="4"/>
      <c r="T20" s="4"/>
      <c r="U20" s="4"/>
      <c r="V20" s="4"/>
      <c r="W20" s="4"/>
      <c r="X20" s="4"/>
      <c r="Y20" s="4"/>
      <c r="Z20" s="4"/>
      <c r="AA20" s="4"/>
      <c r="AB20" s="4"/>
    </row>
    <row r="21" spans="1:28" ht="57">
      <c r="A21" s="22" t="s">
        <v>42</v>
      </c>
      <c r="B21" s="24">
        <v>1774471573</v>
      </c>
      <c r="C21" s="23">
        <v>0</v>
      </c>
      <c r="D21" s="24">
        <f t="shared" si="7"/>
        <v>1774471573</v>
      </c>
      <c r="E21" s="23">
        <v>1774471573</v>
      </c>
      <c r="F21" s="23">
        <v>0</v>
      </c>
      <c r="G21" s="24">
        <f t="shared" si="8"/>
        <v>1774471573</v>
      </c>
      <c r="H21" s="23">
        <v>2080129447.4200001</v>
      </c>
      <c r="I21" s="23">
        <v>0</v>
      </c>
      <c r="J21" s="24">
        <f t="shared" si="9"/>
        <v>2080129447.4200001</v>
      </c>
      <c r="K21" s="38" t="s">
        <v>40</v>
      </c>
      <c r="L21" s="20" t="s">
        <v>77</v>
      </c>
      <c r="M21" s="18" t="s">
        <v>55</v>
      </c>
      <c r="N21" s="19">
        <f t="shared" si="10"/>
        <v>2080129447.4200001</v>
      </c>
      <c r="O21" s="18" t="s">
        <v>104</v>
      </c>
      <c r="P21" s="20" t="s">
        <v>77</v>
      </c>
      <c r="Q21" s="39" t="s">
        <v>136</v>
      </c>
      <c r="R21" s="4"/>
      <c r="S21" s="4"/>
      <c r="T21" s="4"/>
      <c r="U21" s="4"/>
      <c r="V21" s="4"/>
      <c r="W21" s="4"/>
      <c r="X21" s="4"/>
      <c r="Y21" s="4"/>
      <c r="Z21" s="4"/>
      <c r="AA21" s="4"/>
      <c r="AB21" s="4"/>
    </row>
    <row r="22" spans="1:28" ht="142.5">
      <c r="A22" s="22" t="s">
        <v>43</v>
      </c>
      <c r="B22" s="23">
        <v>0</v>
      </c>
      <c r="C22" s="24">
        <v>110051950</v>
      </c>
      <c r="D22" s="24">
        <f t="shared" si="7"/>
        <v>110051950</v>
      </c>
      <c r="E22" s="23">
        <v>0</v>
      </c>
      <c r="F22" s="23">
        <v>110051950</v>
      </c>
      <c r="G22" s="24">
        <f t="shared" si="8"/>
        <v>110051950</v>
      </c>
      <c r="H22" s="23">
        <v>0</v>
      </c>
      <c r="I22" s="23">
        <v>141822671.36000001</v>
      </c>
      <c r="J22" s="24">
        <f t="shared" si="9"/>
        <v>141822671.36000001</v>
      </c>
      <c r="K22" s="38" t="s">
        <v>40</v>
      </c>
      <c r="L22" s="20" t="s">
        <v>77</v>
      </c>
      <c r="M22" s="18" t="s">
        <v>84</v>
      </c>
      <c r="N22" s="19">
        <f>72973858.65+8898284.61</f>
        <v>81872143.260000005</v>
      </c>
      <c r="O22" s="18" t="s">
        <v>90</v>
      </c>
      <c r="P22" s="20" t="s">
        <v>86</v>
      </c>
      <c r="Q22" s="39" t="s">
        <v>137</v>
      </c>
      <c r="R22" s="4"/>
      <c r="S22" s="4"/>
      <c r="T22" s="4"/>
      <c r="U22" s="4"/>
      <c r="V22" s="4"/>
      <c r="W22" s="4"/>
      <c r="X22" s="4"/>
      <c r="Y22" s="4"/>
      <c r="Z22" s="4"/>
      <c r="AA22" s="4"/>
      <c r="AB22" s="4"/>
    </row>
    <row r="23" spans="1:28" ht="15.75" customHeight="1">
      <c r="A23" s="44" t="s">
        <v>44</v>
      </c>
      <c r="B23" s="45">
        <f t="shared" ref="B23:J23" si="11">SUM(B19:B22)</f>
        <v>6167055245</v>
      </c>
      <c r="C23" s="45">
        <f t="shared" si="11"/>
        <v>1610051950</v>
      </c>
      <c r="D23" s="45">
        <f t="shared" si="11"/>
        <v>7777107195</v>
      </c>
      <c r="E23" s="45">
        <f t="shared" si="11"/>
        <v>6167055245</v>
      </c>
      <c r="F23" s="45">
        <f t="shared" si="11"/>
        <v>1610051950</v>
      </c>
      <c r="G23" s="45">
        <f t="shared" si="11"/>
        <v>7777107195</v>
      </c>
      <c r="H23" s="45">
        <f t="shared" si="11"/>
        <v>7740801071.5600004</v>
      </c>
      <c r="I23" s="45">
        <f t="shared" si="11"/>
        <v>2074855271.3600001</v>
      </c>
      <c r="J23" s="45">
        <f t="shared" si="11"/>
        <v>9815656342.920002</v>
      </c>
      <c r="K23" s="46"/>
      <c r="L23" s="17"/>
      <c r="M23" s="48"/>
      <c r="N23" s="19">
        <f>SUM(N19:N22)</f>
        <v>9614643654.4200001</v>
      </c>
      <c r="O23" s="48"/>
      <c r="P23" s="48"/>
      <c r="Q23" s="49" t="s">
        <v>101</v>
      </c>
      <c r="R23" s="50"/>
      <c r="S23" s="50"/>
      <c r="T23" s="50"/>
      <c r="U23" s="50"/>
      <c r="V23" s="50"/>
      <c r="W23" s="50"/>
      <c r="X23" s="50"/>
      <c r="Y23" s="50"/>
      <c r="Z23" s="50"/>
      <c r="AA23" s="50"/>
      <c r="AB23" s="50"/>
    </row>
    <row r="24" spans="1:28" ht="15.75" customHeight="1">
      <c r="A24" s="68" t="s">
        <v>45</v>
      </c>
      <c r="B24" s="69">
        <f t="shared" ref="B24:J24" si="12">B18+B23</f>
        <v>17494715379</v>
      </c>
      <c r="C24" s="69">
        <f t="shared" si="12"/>
        <v>20195051950</v>
      </c>
      <c r="D24" s="69">
        <f t="shared" si="12"/>
        <v>37689767329</v>
      </c>
      <c r="E24" s="69">
        <f t="shared" si="12"/>
        <v>13481676410.284119</v>
      </c>
      <c r="F24" s="69">
        <f t="shared" si="12"/>
        <v>24208090918.720001</v>
      </c>
      <c r="G24" s="69">
        <f t="shared" si="12"/>
        <v>37689767329</v>
      </c>
      <c r="H24" s="69">
        <f t="shared" si="12"/>
        <v>17764479927.720161</v>
      </c>
      <c r="I24" s="69">
        <f t="shared" si="12"/>
        <v>31271151298.5</v>
      </c>
      <c r="J24" s="69">
        <f t="shared" si="12"/>
        <v>49035631226.219299</v>
      </c>
      <c r="K24" s="24"/>
      <c r="L24" s="17" t="s">
        <v>138</v>
      </c>
      <c r="M24" s="18"/>
      <c r="N24" s="54">
        <f>N23+N18</f>
        <v>20578855733.940002</v>
      </c>
      <c r="O24" s="18"/>
      <c r="P24" s="18"/>
      <c r="Q24" s="49" t="s">
        <v>7</v>
      </c>
      <c r="R24" s="4"/>
      <c r="S24" s="4"/>
      <c r="T24" s="4"/>
      <c r="U24" s="4"/>
      <c r="V24" s="4"/>
      <c r="W24" s="4"/>
      <c r="X24" s="4"/>
      <c r="Y24" s="4"/>
      <c r="Z24" s="4"/>
      <c r="AA24" s="4"/>
      <c r="AB24" s="4"/>
    </row>
    <row r="25" spans="1:28" ht="15.75" customHeight="1">
      <c r="A25" s="55"/>
      <c r="B25" s="55"/>
      <c r="C25" s="55"/>
      <c r="D25" s="55"/>
      <c r="E25" s="55"/>
      <c r="F25" s="55"/>
      <c r="G25" s="55"/>
      <c r="H25" s="55"/>
      <c r="I25" s="55"/>
      <c r="J25" s="70">
        <f>J24-J8</f>
        <v>42592189226.219299</v>
      </c>
      <c r="K25" s="57"/>
      <c r="L25" s="58"/>
      <c r="M25" s="58"/>
      <c r="N25" s="60">
        <f>N24/J24</f>
        <v>0.41967147601306926</v>
      </c>
      <c r="O25" s="58"/>
      <c r="P25" s="58"/>
      <c r="Q25" s="58"/>
      <c r="R25" s="4"/>
      <c r="S25" s="4"/>
      <c r="T25" s="4"/>
      <c r="U25" s="4"/>
      <c r="V25" s="4"/>
      <c r="W25" s="4"/>
      <c r="X25" s="4"/>
      <c r="Y25" s="4"/>
      <c r="Z25" s="4"/>
      <c r="AA25" s="4"/>
      <c r="AB25" s="4"/>
    </row>
    <row r="26" spans="1:28" ht="15.75" customHeight="1">
      <c r="A26" s="55"/>
      <c r="B26" s="55"/>
      <c r="C26" s="55"/>
      <c r="D26" s="55"/>
      <c r="E26" s="55"/>
      <c r="F26" s="55"/>
      <c r="G26" s="55"/>
      <c r="H26" s="55"/>
      <c r="I26" s="55"/>
      <c r="J26" s="61">
        <f>N24/J25</f>
        <v>0.48316031901154022</v>
      </c>
      <c r="K26" s="57"/>
      <c r="L26" s="58"/>
      <c r="M26" s="58"/>
      <c r="N26" s="62"/>
      <c r="O26" s="58"/>
      <c r="P26" s="58"/>
      <c r="Q26" s="58"/>
      <c r="R26" s="4"/>
      <c r="S26" s="4"/>
      <c r="T26" s="4"/>
      <c r="U26" s="4"/>
      <c r="V26" s="4"/>
      <c r="W26" s="4"/>
      <c r="X26" s="4"/>
      <c r="Y26" s="4"/>
      <c r="Z26" s="4"/>
      <c r="AA26" s="4"/>
      <c r="AB26" s="4"/>
    </row>
    <row r="27" spans="1:28"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row r="1003" spans="1:28"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139</v>
      </c>
      <c r="F2" s="158"/>
      <c r="G2" s="159"/>
      <c r="H2" s="160" t="s">
        <v>140</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2000000000+282312603.74+2325834136.37+8387.5+1232000000</f>
        <v>5840155127.6099997</v>
      </c>
      <c r="J5" s="26">
        <f t="shared" si="2"/>
        <v>5840155127.6099997</v>
      </c>
      <c r="K5" s="27" t="s">
        <v>141</v>
      </c>
      <c r="L5" s="20" t="s">
        <v>115</v>
      </c>
      <c r="M5" s="18"/>
      <c r="N5" s="18"/>
      <c r="O5" s="4"/>
      <c r="P5" s="4"/>
      <c r="Q5" s="4"/>
      <c r="R5" s="4"/>
      <c r="S5" s="4"/>
      <c r="T5" s="4"/>
      <c r="U5" s="4"/>
      <c r="V5" s="4"/>
      <c r="W5" s="4"/>
      <c r="X5" s="4"/>
      <c r="Y5" s="4"/>
      <c r="Z5" s="4"/>
      <c r="AA5" s="4"/>
      <c r="AB5" s="4"/>
    </row>
    <row r="6" spans="1:28" ht="14.25">
      <c r="A6" s="28" t="s">
        <v>12</v>
      </c>
      <c r="B6" s="29">
        <v>2375000000</v>
      </c>
      <c r="C6" s="30">
        <v>125000000</v>
      </c>
      <c r="D6" s="30">
        <f t="shared" si="0"/>
        <v>2500000000</v>
      </c>
      <c r="E6" s="31">
        <v>632222229.26999998</v>
      </c>
      <c r="F6" s="31" t="s">
        <v>116</v>
      </c>
      <c r="G6" s="31">
        <v>2500000000</v>
      </c>
      <c r="H6" s="31">
        <v>1232605314.50369</v>
      </c>
      <c r="I6" s="31" t="s">
        <v>142</v>
      </c>
      <c r="J6" s="31">
        <v>3267795061.5511198</v>
      </c>
      <c r="K6" s="32" t="s">
        <v>143</v>
      </c>
      <c r="L6" s="20" t="s">
        <v>144</v>
      </c>
      <c r="M6" s="18"/>
      <c r="N6" s="18"/>
      <c r="O6" s="5"/>
      <c r="P6" s="5"/>
      <c r="Q6" s="5"/>
      <c r="R6" s="5"/>
      <c r="S6" s="5"/>
      <c r="T6" s="5"/>
      <c r="U6" s="5"/>
      <c r="V6" s="5"/>
      <c r="W6" s="5"/>
      <c r="X6" s="5"/>
      <c r="Y6" s="5"/>
      <c r="Z6" s="5"/>
      <c r="AA6" s="5"/>
      <c r="AB6" s="5"/>
    </row>
    <row r="7" spans="1:28" ht="128.25">
      <c r="A7" s="28" t="s">
        <v>16</v>
      </c>
      <c r="B7" s="29">
        <v>1500000000</v>
      </c>
      <c r="C7" s="23">
        <v>0</v>
      </c>
      <c r="D7" s="24">
        <f t="shared" si="0"/>
        <v>1500000000</v>
      </c>
      <c r="E7" s="31">
        <v>646739875.01411796</v>
      </c>
      <c r="F7" s="31" t="s">
        <v>121</v>
      </c>
      <c r="G7" s="34">
        <v>1500000000</v>
      </c>
      <c r="H7" s="35">
        <v>1030008801.59</v>
      </c>
      <c r="I7" s="31" t="s">
        <v>145</v>
      </c>
      <c r="J7" s="31">
        <v>1960677036.9300001</v>
      </c>
      <c r="K7" s="36" t="s">
        <v>146</v>
      </c>
      <c r="L7" s="20" t="s">
        <v>144</v>
      </c>
      <c r="M7" s="37"/>
      <c r="N7" s="18"/>
      <c r="O7" s="5"/>
      <c r="P7" s="5"/>
      <c r="Q7" s="5"/>
      <c r="R7" s="5"/>
      <c r="S7" s="5"/>
      <c r="T7" s="5"/>
      <c r="U7" s="5"/>
      <c r="V7" s="5"/>
      <c r="W7" s="5"/>
      <c r="X7" s="5"/>
      <c r="Y7" s="5"/>
      <c r="Z7" s="5"/>
      <c r="AA7" s="5"/>
      <c r="AB7" s="5"/>
    </row>
    <row r="8" spans="1:28" ht="57">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384.75">
      <c r="A9" s="28" t="s">
        <v>22</v>
      </c>
      <c r="B9" s="23">
        <v>1550000000</v>
      </c>
      <c r="C9" s="23">
        <v>0</v>
      </c>
      <c r="D9" s="24">
        <f t="shared" si="0"/>
        <v>1550000000</v>
      </c>
      <c r="E9" s="23">
        <f>1550000000-1417001073</f>
        <v>132998927</v>
      </c>
      <c r="F9" s="23">
        <v>1417001073</v>
      </c>
      <c r="G9" s="24">
        <f t="shared" si="3"/>
        <v>1550000000</v>
      </c>
      <c r="H9" s="23">
        <v>172575349.31</v>
      </c>
      <c r="I9" s="23">
        <f>(1417001073-170000000-400000000)+211773067.2+503338675.12</f>
        <v>1562112815.3200002</v>
      </c>
      <c r="J9" s="24">
        <f t="shared" si="4"/>
        <v>1734688164.6300001</v>
      </c>
      <c r="K9" s="66" t="s">
        <v>148</v>
      </c>
      <c r="L9" s="20" t="s">
        <v>115</v>
      </c>
      <c r="M9" s="18"/>
      <c r="N9" s="18"/>
      <c r="O9" s="4"/>
      <c r="P9" s="4"/>
      <c r="Q9" s="4"/>
      <c r="R9" s="4"/>
      <c r="S9" s="4"/>
      <c r="T9" s="4"/>
      <c r="U9" s="4"/>
      <c r="V9" s="4"/>
      <c r="W9" s="4"/>
      <c r="X9" s="4"/>
      <c r="Y9" s="4"/>
      <c r="Z9" s="4"/>
      <c r="AA9" s="4"/>
      <c r="AB9" s="4"/>
    </row>
    <row r="10" spans="1:28" ht="57">
      <c r="A10" s="22" t="s">
        <v>24</v>
      </c>
      <c r="B10" s="23">
        <v>0</v>
      </c>
      <c r="C10" s="23">
        <v>2050000000</v>
      </c>
      <c r="D10" s="24">
        <f t="shared" si="0"/>
        <v>2050000000</v>
      </c>
      <c r="E10" s="23">
        <v>0</v>
      </c>
      <c r="F10" s="23">
        <v>2050000000</v>
      </c>
      <c r="G10" s="24">
        <f t="shared" si="3"/>
        <v>2050000000</v>
      </c>
      <c r="H10" s="23">
        <v>0</v>
      </c>
      <c r="I10" s="23">
        <v>3222641992.77</v>
      </c>
      <c r="J10" s="24">
        <f t="shared" si="4"/>
        <v>3222641992.77</v>
      </c>
      <c r="K10" s="38" t="s">
        <v>149</v>
      </c>
      <c r="L10" s="20" t="s">
        <v>150</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4909667698.37+(3*541384129.09)</f>
        <v>6533820085.6399994</v>
      </c>
      <c r="J11" s="24">
        <f t="shared" si="4"/>
        <v>6533820085.6399994</v>
      </c>
      <c r="K11" s="38" t="s">
        <v>151</v>
      </c>
      <c r="L11" s="20" t="s">
        <v>150</v>
      </c>
      <c r="M11" s="18"/>
      <c r="N11" s="18"/>
      <c r="O11" s="4"/>
      <c r="P11" s="4"/>
      <c r="Q11" s="4"/>
      <c r="R11" s="4"/>
      <c r="S11" s="4"/>
      <c r="T11" s="4"/>
      <c r="U11" s="4"/>
      <c r="V11" s="4"/>
      <c r="W11" s="4"/>
      <c r="X11" s="4"/>
      <c r="Y11" s="4"/>
      <c r="Z11" s="4"/>
      <c r="AA11" s="4"/>
      <c r="AB11" s="4"/>
    </row>
    <row r="12" spans="1:28" ht="57">
      <c r="A12" s="22" t="s">
        <v>28</v>
      </c>
      <c r="B12" s="23">
        <v>0</v>
      </c>
      <c r="C12" s="23">
        <v>3650000000</v>
      </c>
      <c r="D12" s="24">
        <f t="shared" si="0"/>
        <v>3650000000</v>
      </c>
      <c r="E12" s="23">
        <v>0</v>
      </c>
      <c r="F12" s="23">
        <v>3650000000</v>
      </c>
      <c r="G12" s="24">
        <f t="shared" si="3"/>
        <v>3650000000</v>
      </c>
      <c r="H12" s="23">
        <v>0</v>
      </c>
      <c r="I12" s="23">
        <v>4731574956.8199997</v>
      </c>
      <c r="J12" s="24">
        <f t="shared" si="4"/>
        <v>4731574956.8199997</v>
      </c>
      <c r="K12" s="38" t="s">
        <v>152</v>
      </c>
      <c r="L12" s="20" t="s">
        <v>150</v>
      </c>
      <c r="M12" s="18"/>
      <c r="N12" s="18"/>
      <c r="O12" s="4"/>
      <c r="P12" s="4"/>
      <c r="Q12" s="4"/>
      <c r="R12" s="4"/>
      <c r="S12" s="4"/>
      <c r="T12" s="4"/>
      <c r="U12" s="4"/>
      <c r="V12" s="4"/>
      <c r="W12" s="4"/>
      <c r="X12" s="4"/>
      <c r="Y12" s="4"/>
      <c r="Z12" s="4"/>
      <c r="AA12" s="4"/>
      <c r="AB12" s="4"/>
    </row>
    <row r="13" spans="1:28" ht="28.5">
      <c r="A13" s="22" t="s">
        <v>29</v>
      </c>
      <c r="B13" s="24">
        <v>135000000</v>
      </c>
      <c r="C13" s="23">
        <v>0</v>
      </c>
      <c r="D13" s="24">
        <f t="shared" si="0"/>
        <v>135000000</v>
      </c>
      <c r="E13" s="23">
        <v>135000000</v>
      </c>
      <c r="F13" s="23">
        <v>0</v>
      </c>
      <c r="G13" s="24">
        <f t="shared" si="3"/>
        <v>135000000</v>
      </c>
      <c r="H13" s="23">
        <v>176460933.31999999</v>
      </c>
      <c r="I13" s="23">
        <v>0</v>
      </c>
      <c r="J13" s="24">
        <f t="shared" si="4"/>
        <v>176460933.31999999</v>
      </c>
      <c r="K13" s="38" t="s">
        <v>129</v>
      </c>
      <c r="L13" s="20" t="s">
        <v>115</v>
      </c>
      <c r="M13" s="18"/>
      <c r="N13" s="18"/>
      <c r="O13" s="4"/>
      <c r="P13" s="4"/>
      <c r="Q13" s="4"/>
      <c r="R13" s="4"/>
      <c r="S13" s="4"/>
      <c r="T13" s="4"/>
      <c r="U13" s="4"/>
      <c r="V13" s="4"/>
      <c r="W13" s="4"/>
      <c r="X13" s="4"/>
      <c r="Y13" s="4"/>
      <c r="Z13" s="4"/>
      <c r="AA13" s="4"/>
      <c r="AB13" s="4"/>
    </row>
    <row r="14" spans="1:28" ht="57">
      <c r="A14" s="22" t="s">
        <v>31</v>
      </c>
      <c r="B14" s="23">
        <v>0</v>
      </c>
      <c r="C14" s="23">
        <v>310000000</v>
      </c>
      <c r="D14" s="24">
        <f t="shared" si="0"/>
        <v>310000000</v>
      </c>
      <c r="E14" s="23">
        <v>0</v>
      </c>
      <c r="F14" s="23">
        <v>310000000</v>
      </c>
      <c r="G14" s="24">
        <f t="shared" si="3"/>
        <v>310000000</v>
      </c>
      <c r="H14" s="23">
        <v>0</v>
      </c>
      <c r="I14" s="23">
        <v>478571815.81</v>
      </c>
      <c r="J14" s="24">
        <f t="shared" si="4"/>
        <v>478571815.81</v>
      </c>
      <c r="K14" s="38" t="s">
        <v>152</v>
      </c>
      <c r="L14" s="20" t="s">
        <v>150</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153</v>
      </c>
      <c r="L15" s="20"/>
      <c r="M15" s="18"/>
      <c r="N15" s="18"/>
      <c r="O15" s="4"/>
      <c r="P15" s="4"/>
      <c r="Q15" s="4"/>
      <c r="R15" s="4"/>
      <c r="S15" s="4"/>
      <c r="T15" s="4"/>
      <c r="U15" s="4"/>
      <c r="V15" s="4"/>
      <c r="W15" s="4"/>
      <c r="X15" s="4"/>
      <c r="Y15" s="4"/>
      <c r="Z15" s="4"/>
      <c r="AA15" s="4"/>
      <c r="AB15" s="4"/>
    </row>
    <row r="16" spans="1:28" ht="28.5">
      <c r="A16" s="22" t="s">
        <v>37</v>
      </c>
      <c r="B16" s="24">
        <f>71040828+96619306</f>
        <v>167660134</v>
      </c>
      <c r="C16" s="23">
        <v>0</v>
      </c>
      <c r="D16" s="24">
        <f t="shared" si="0"/>
        <v>167660134</v>
      </c>
      <c r="E16" s="24">
        <f>71040828+96619306</f>
        <v>167660134</v>
      </c>
      <c r="F16" s="23">
        <v>0</v>
      </c>
      <c r="G16" s="24">
        <f t="shared" si="3"/>
        <v>167660134</v>
      </c>
      <c r="H16" s="24">
        <f>92858746.76+126292836.39</f>
        <v>219151583.15000001</v>
      </c>
      <c r="I16" s="23"/>
      <c r="J16" s="24">
        <f t="shared" si="4"/>
        <v>219151583.15000001</v>
      </c>
      <c r="K16" s="38" t="s">
        <v>133</v>
      </c>
      <c r="L16" s="20" t="s">
        <v>115</v>
      </c>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7314621165.2841177</v>
      </c>
      <c r="F17" s="45">
        <f>SUM(F4:F16)+1867777770.73+853260124.99</f>
        <v>22598038968.720001</v>
      </c>
      <c r="G17" s="45">
        <f t="shared" ref="G17:H17" si="6">SUM(G4:G16)</f>
        <v>29912660134</v>
      </c>
      <c r="H17" s="45">
        <f t="shared" si="6"/>
        <v>8430801981.8736897</v>
      </c>
      <c r="I17" s="45">
        <f>SUM(I4:I16)+2035189747.05+ 930668235.34</f>
        <v>28894052942.23</v>
      </c>
      <c r="J17" s="45">
        <f>SUM(J4:J16)</f>
        <v>37324854924.10112</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13481676410.284119</v>
      </c>
      <c r="F23" s="73">
        <f t="shared" si="11"/>
        <v>24208090918.720001</v>
      </c>
      <c r="G23" s="73">
        <f t="shared" si="11"/>
        <v>37689767329</v>
      </c>
      <c r="H23" s="73">
        <f t="shared" si="11"/>
        <v>14597857226.87369</v>
      </c>
      <c r="I23" s="73">
        <f t="shared" si="11"/>
        <v>30504104892.23</v>
      </c>
      <c r="J23" s="73">
        <f t="shared" si="11"/>
        <v>45101962119.10112</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155</v>
      </c>
      <c r="F2" s="158"/>
      <c r="G2" s="159"/>
      <c r="H2" s="160" t="s">
        <v>156</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2000000000+282312603.74+2325834136.37+8387.5+1218000000</f>
        <v>5826155127.6099997</v>
      </c>
      <c r="J5" s="26">
        <f t="shared" si="2"/>
        <v>5826155127.6099997</v>
      </c>
      <c r="K5" s="27" t="s">
        <v>157</v>
      </c>
      <c r="L5" s="20" t="s">
        <v>115</v>
      </c>
      <c r="M5" s="18"/>
      <c r="N5" s="18"/>
      <c r="O5" s="4"/>
      <c r="P5" s="4"/>
      <c r="Q5" s="4"/>
      <c r="R5" s="4"/>
      <c r="S5" s="4"/>
      <c r="T5" s="4"/>
      <c r="U5" s="4"/>
      <c r="V5" s="4"/>
      <c r="W5" s="4"/>
      <c r="X5" s="4"/>
      <c r="Y5" s="4"/>
      <c r="Z5" s="4"/>
      <c r="AA5" s="4"/>
      <c r="AB5" s="4"/>
    </row>
    <row r="6" spans="1:28" ht="14.25">
      <c r="A6" s="28" t="s">
        <v>12</v>
      </c>
      <c r="B6" s="29">
        <v>2375000000</v>
      </c>
      <c r="C6" s="30">
        <v>125000000</v>
      </c>
      <c r="D6" s="30">
        <f t="shared" si="0"/>
        <v>2500000000</v>
      </c>
      <c r="E6" s="31">
        <v>632222229.26999998</v>
      </c>
      <c r="F6" s="31" t="s">
        <v>116</v>
      </c>
      <c r="G6" s="31">
        <v>2500000000</v>
      </c>
      <c r="H6" s="31">
        <v>1229408851.49</v>
      </c>
      <c r="I6" s="31" t="s">
        <v>158</v>
      </c>
      <c r="J6" s="31">
        <v>3259320827.4000001</v>
      </c>
      <c r="K6" s="32" t="s">
        <v>159</v>
      </c>
      <c r="L6" s="20" t="s">
        <v>160</v>
      </c>
      <c r="M6" s="18"/>
      <c r="N6" s="18"/>
      <c r="O6" s="5"/>
      <c r="P6" s="5"/>
      <c r="Q6" s="5"/>
      <c r="R6" s="5"/>
      <c r="S6" s="5"/>
      <c r="T6" s="5"/>
      <c r="U6" s="5"/>
      <c r="V6" s="5"/>
      <c r="W6" s="5"/>
      <c r="X6" s="5"/>
      <c r="Y6" s="5"/>
      <c r="Z6" s="5"/>
      <c r="AA6" s="5"/>
      <c r="AB6" s="5"/>
    </row>
    <row r="7" spans="1:28" ht="128.25">
      <c r="A7" s="28" t="s">
        <v>16</v>
      </c>
      <c r="B7" s="29">
        <v>1500000000</v>
      </c>
      <c r="C7" s="23">
        <v>0</v>
      </c>
      <c r="D7" s="24">
        <f t="shared" si="0"/>
        <v>1500000000</v>
      </c>
      <c r="E7" s="31">
        <v>646739875.01411796</v>
      </c>
      <c r="F7" s="31" t="s">
        <v>121</v>
      </c>
      <c r="G7" s="34">
        <v>1500000000</v>
      </c>
      <c r="H7" s="35">
        <v>1027337723.51</v>
      </c>
      <c r="I7" s="31" t="s">
        <v>161</v>
      </c>
      <c r="J7" s="31">
        <v>1955592496.4400001</v>
      </c>
      <c r="K7" s="36" t="s">
        <v>162</v>
      </c>
      <c r="L7" s="20" t="s">
        <v>160</v>
      </c>
      <c r="M7" s="37"/>
      <c r="N7" s="18"/>
      <c r="O7" s="5"/>
      <c r="P7" s="5"/>
      <c r="Q7" s="5"/>
      <c r="R7" s="5"/>
      <c r="S7" s="5"/>
      <c r="T7" s="5"/>
      <c r="U7" s="5"/>
      <c r="V7" s="5"/>
      <c r="W7" s="5"/>
      <c r="X7" s="5"/>
      <c r="Y7" s="5"/>
      <c r="Z7" s="5"/>
      <c r="AA7" s="5"/>
      <c r="AB7" s="5"/>
    </row>
    <row r="8" spans="1:28" ht="57">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313.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163</v>
      </c>
      <c r="L9" s="20" t="s">
        <v>115</v>
      </c>
      <c r="M9" s="18"/>
      <c r="N9" s="18"/>
      <c r="O9" s="4"/>
      <c r="P9" s="4"/>
      <c r="Q9" s="4"/>
      <c r="R9" s="4"/>
      <c r="S9" s="4"/>
      <c r="T9" s="4"/>
      <c r="U9" s="4"/>
      <c r="V9" s="4"/>
      <c r="W9" s="4"/>
      <c r="X9" s="4"/>
      <c r="Y9" s="4"/>
      <c r="Z9" s="4"/>
      <c r="AA9" s="4"/>
      <c r="AB9" s="4"/>
    </row>
    <row r="10" spans="1:28" ht="57">
      <c r="A10" s="22" t="s">
        <v>24</v>
      </c>
      <c r="B10" s="23">
        <v>0</v>
      </c>
      <c r="C10" s="23">
        <v>2050000000</v>
      </c>
      <c r="D10" s="24">
        <f t="shared" si="0"/>
        <v>2050000000</v>
      </c>
      <c r="E10" s="23">
        <v>0</v>
      </c>
      <c r="F10" s="23">
        <v>2050000000</v>
      </c>
      <c r="G10" s="24">
        <f t="shared" si="3"/>
        <v>2050000000</v>
      </c>
      <c r="H10" s="23">
        <v>0</v>
      </c>
      <c r="I10" s="23">
        <v>3186964341.8600001</v>
      </c>
      <c r="J10" s="24">
        <f t="shared" si="4"/>
        <v>3186964341.8600001</v>
      </c>
      <c r="K10" s="38" t="s">
        <v>149</v>
      </c>
      <c r="L10" s="20" t="s">
        <v>164</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4878901589.63+(3*541384129.09)</f>
        <v>6503053976.8999996</v>
      </c>
      <c r="J11" s="24">
        <f t="shared" si="4"/>
        <v>6503053976.8999996</v>
      </c>
      <c r="K11" s="38" t="s">
        <v>151</v>
      </c>
      <c r="L11" s="20" t="s">
        <v>164</v>
      </c>
      <c r="M11" s="18"/>
      <c r="N11" s="18"/>
      <c r="O11" s="4"/>
      <c r="P11" s="4"/>
      <c r="Q11" s="4"/>
      <c r="R11" s="4"/>
      <c r="S11" s="4"/>
      <c r="T11" s="4"/>
      <c r="U11" s="4"/>
      <c r="V11" s="4"/>
      <c r="W11" s="4"/>
      <c r="X11" s="4"/>
      <c r="Y11" s="4"/>
      <c r="Z11" s="4"/>
      <c r="AA11" s="4"/>
      <c r="AB11" s="4"/>
    </row>
    <row r="12" spans="1:28" ht="57">
      <c r="A12" s="22" t="s">
        <v>28</v>
      </c>
      <c r="B12" s="23">
        <v>0</v>
      </c>
      <c r="C12" s="23">
        <v>3650000000</v>
      </c>
      <c r="D12" s="24">
        <f t="shared" si="0"/>
        <v>3650000000</v>
      </c>
      <c r="E12" s="23">
        <v>0</v>
      </c>
      <c r="F12" s="23">
        <v>3650000000</v>
      </c>
      <c r="G12" s="24">
        <f t="shared" si="3"/>
        <v>3650000000</v>
      </c>
      <c r="H12" s="23">
        <v>0</v>
      </c>
      <c r="I12" s="23">
        <v>4708256871.8800001</v>
      </c>
      <c r="J12" s="24">
        <f t="shared" si="4"/>
        <v>4708256871.8800001</v>
      </c>
      <c r="K12" s="38" t="s">
        <v>152</v>
      </c>
      <c r="L12" s="20" t="s">
        <v>164</v>
      </c>
      <c r="M12" s="18"/>
      <c r="N12" s="18"/>
      <c r="O12" s="4"/>
      <c r="P12" s="4"/>
      <c r="Q12" s="4"/>
      <c r="R12" s="4"/>
      <c r="S12" s="4"/>
      <c r="T12" s="4"/>
      <c r="U12" s="4"/>
      <c r="V12" s="4"/>
      <c r="W12" s="4"/>
      <c r="X12" s="4"/>
      <c r="Y12" s="4"/>
      <c r="Z12" s="4"/>
      <c r="AA12" s="4"/>
      <c r="AB12" s="4"/>
    </row>
    <row r="13" spans="1:28" ht="28.5">
      <c r="A13" s="22" t="s">
        <v>29</v>
      </c>
      <c r="B13" s="24">
        <v>135000000</v>
      </c>
      <c r="C13" s="23">
        <v>0</v>
      </c>
      <c r="D13" s="24">
        <f t="shared" si="0"/>
        <v>135000000</v>
      </c>
      <c r="E13" s="23">
        <v>135000000</v>
      </c>
      <c r="F13" s="23">
        <v>0</v>
      </c>
      <c r="G13" s="24">
        <f t="shared" si="3"/>
        <v>135000000</v>
      </c>
      <c r="H13" s="23">
        <v>176003324.68000001</v>
      </c>
      <c r="I13" s="23">
        <v>0</v>
      </c>
      <c r="J13" s="24">
        <f t="shared" si="4"/>
        <v>176003324.68000001</v>
      </c>
      <c r="K13" s="38" t="s">
        <v>129</v>
      </c>
      <c r="L13" s="20" t="s">
        <v>115</v>
      </c>
      <c r="M13" s="18"/>
      <c r="N13" s="18"/>
      <c r="O13" s="4"/>
      <c r="P13" s="4"/>
      <c r="Q13" s="4"/>
      <c r="R13" s="4"/>
      <c r="S13" s="4"/>
      <c r="T13" s="4"/>
      <c r="U13" s="4"/>
      <c r="V13" s="4"/>
      <c r="W13" s="4"/>
      <c r="X13" s="4"/>
      <c r="Y13" s="4"/>
      <c r="Z13" s="4"/>
      <c r="AA13" s="4"/>
      <c r="AB13" s="4"/>
    </row>
    <row r="14" spans="1:28" ht="57">
      <c r="A14" s="22" t="s">
        <v>31</v>
      </c>
      <c r="B14" s="23">
        <v>0</v>
      </c>
      <c r="C14" s="23">
        <v>310000000</v>
      </c>
      <c r="D14" s="24">
        <f t="shared" si="0"/>
        <v>310000000</v>
      </c>
      <c r="E14" s="23">
        <v>0</v>
      </c>
      <c r="F14" s="23">
        <v>310000000</v>
      </c>
      <c r="G14" s="24">
        <f t="shared" si="3"/>
        <v>310000000</v>
      </c>
      <c r="H14" s="23">
        <v>0</v>
      </c>
      <c r="I14" s="23">
        <v>473813923.32999998</v>
      </c>
      <c r="J14" s="24">
        <f t="shared" si="4"/>
        <v>473813923.32999998</v>
      </c>
      <c r="K14" s="38" t="s">
        <v>152</v>
      </c>
      <c r="L14" s="20" t="s">
        <v>164</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165</v>
      </c>
      <c r="L15" s="20"/>
      <c r="M15" s="18"/>
      <c r="N15" s="18"/>
      <c r="O15" s="4"/>
      <c r="P15" s="4"/>
      <c r="Q15" s="4"/>
      <c r="R15" s="4"/>
      <c r="S15" s="4"/>
      <c r="T15" s="4"/>
      <c r="U15" s="4"/>
      <c r="V15" s="4"/>
      <c r="W15" s="4"/>
      <c r="X15" s="4"/>
      <c r="Y15" s="4"/>
      <c r="Z15" s="4"/>
      <c r="AA15" s="4"/>
      <c r="AB15" s="4"/>
    </row>
    <row r="16" spans="1:28" ht="28.5">
      <c r="A16" s="22" t="s">
        <v>37</v>
      </c>
      <c r="B16" s="24">
        <f>71040828+96619306</f>
        <v>167660134</v>
      </c>
      <c r="C16" s="23">
        <v>0</v>
      </c>
      <c r="D16" s="24">
        <f t="shared" si="0"/>
        <v>167660134</v>
      </c>
      <c r="E16" s="24">
        <f>71040828+96619306</f>
        <v>167660134</v>
      </c>
      <c r="F16" s="23">
        <v>0</v>
      </c>
      <c r="G16" s="24">
        <f t="shared" si="3"/>
        <v>167660134</v>
      </c>
      <c r="H16" s="24">
        <f>92617940.12+125965326.55</f>
        <v>218583266.67000002</v>
      </c>
      <c r="I16" s="23"/>
      <c r="J16" s="24">
        <f t="shared" si="4"/>
        <v>218583266.67000002</v>
      </c>
      <c r="K16" s="38" t="s">
        <v>133</v>
      </c>
      <c r="L16" s="20" t="s">
        <v>115</v>
      </c>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7314621165.2841177</v>
      </c>
      <c r="F17" s="45">
        <f>SUM(F4:F16)+1867777770.73+853260124.99</f>
        <v>22598038968.720001</v>
      </c>
      <c r="G17" s="45">
        <f t="shared" ref="G17:H17" si="6">SUM(G4:G16)</f>
        <v>29912660134</v>
      </c>
      <c r="H17" s="45">
        <f t="shared" si="6"/>
        <v>8384332093.3500004</v>
      </c>
      <c r="I17" s="45">
        <f>SUM(I4:I16)+2029911975.91+928254772.93</f>
        <v>28777841971.610001</v>
      </c>
      <c r="J17" s="45">
        <f>SUM(J4:J16)</f>
        <v>37162174064.959999</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13481676410.284119</v>
      </c>
      <c r="F23" s="73">
        <f t="shared" si="11"/>
        <v>24208090918.720001</v>
      </c>
      <c r="G23" s="73">
        <f t="shared" si="11"/>
        <v>37689767329</v>
      </c>
      <c r="H23" s="73">
        <f t="shared" si="11"/>
        <v>14551387338.35</v>
      </c>
      <c r="I23" s="73">
        <f t="shared" si="11"/>
        <v>30387893921.610001</v>
      </c>
      <c r="J23" s="73">
        <f t="shared" si="11"/>
        <v>44939281259.959999</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166</v>
      </c>
      <c r="F2" s="158"/>
      <c r="G2" s="159"/>
      <c r="H2" s="160" t="s">
        <v>167</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2000000000+282312603.74+2325834136.37+8387.5+1204000000</f>
        <v>5812155127.6099997</v>
      </c>
      <c r="J5" s="26">
        <f t="shared" si="2"/>
        <v>5812155127.6099997</v>
      </c>
      <c r="K5" s="27" t="s">
        <v>168</v>
      </c>
      <c r="L5" s="20" t="s">
        <v>169</v>
      </c>
      <c r="M5" s="18"/>
      <c r="N5" s="18"/>
      <c r="O5" s="4"/>
      <c r="P5" s="4"/>
      <c r="Q5" s="4"/>
      <c r="R5" s="4"/>
      <c r="S5" s="4"/>
      <c r="T5" s="4"/>
      <c r="U5" s="4"/>
      <c r="V5" s="4"/>
      <c r="W5" s="4"/>
      <c r="X5" s="4"/>
      <c r="Y5" s="4"/>
      <c r="Z5" s="4"/>
      <c r="AA5" s="4"/>
      <c r="AB5" s="4"/>
    </row>
    <row r="6" spans="1:28" ht="14.25">
      <c r="A6" s="22" t="s">
        <v>12</v>
      </c>
      <c r="B6" s="29">
        <v>2375000000</v>
      </c>
      <c r="C6" s="30">
        <v>125000000</v>
      </c>
      <c r="D6" s="30">
        <f t="shared" si="0"/>
        <v>2500000000</v>
      </c>
      <c r="E6" s="74">
        <v>632222229.26588202</v>
      </c>
      <c r="F6" s="74" t="s">
        <v>170</v>
      </c>
      <c r="G6" s="74">
        <v>2500000000</v>
      </c>
      <c r="H6" s="74">
        <v>1278035012.78</v>
      </c>
      <c r="I6" s="74" t="s">
        <v>171</v>
      </c>
      <c r="J6" s="74">
        <v>3245365754.6500001</v>
      </c>
      <c r="K6" s="32" t="s">
        <v>172</v>
      </c>
      <c r="L6" s="20" t="s">
        <v>173</v>
      </c>
      <c r="M6" s="18"/>
      <c r="N6" s="18"/>
      <c r="O6" s="5"/>
      <c r="P6" s="5"/>
      <c r="Q6" s="5"/>
      <c r="R6" s="5"/>
      <c r="S6" s="5"/>
      <c r="T6" s="5"/>
      <c r="U6" s="5"/>
      <c r="V6" s="5"/>
      <c r="W6" s="5"/>
      <c r="X6" s="5"/>
      <c r="Y6" s="5"/>
      <c r="Z6" s="5"/>
      <c r="AA6" s="5"/>
      <c r="AB6" s="5"/>
    </row>
    <row r="7" spans="1:28" ht="128.25">
      <c r="A7" s="28" t="s">
        <v>16</v>
      </c>
      <c r="B7" s="29">
        <v>1500000000</v>
      </c>
      <c r="C7" s="23">
        <v>0</v>
      </c>
      <c r="D7" s="24">
        <f t="shared" si="0"/>
        <v>1500000000</v>
      </c>
      <c r="E7" s="74">
        <v>646739875.01411796</v>
      </c>
      <c r="F7" s="74" t="s">
        <v>121</v>
      </c>
      <c r="G7" s="24">
        <v>1500000000</v>
      </c>
      <c r="H7" s="23">
        <v>1022939085.4400001</v>
      </c>
      <c r="I7" s="74" t="s">
        <v>174</v>
      </c>
      <c r="J7" s="23">
        <v>1947219452.79</v>
      </c>
      <c r="K7" s="36" t="s">
        <v>175</v>
      </c>
      <c r="L7" s="20" t="s">
        <v>173</v>
      </c>
      <c r="M7" s="37" t="s">
        <v>176</v>
      </c>
      <c r="N7" s="18"/>
      <c r="O7" s="5"/>
      <c r="P7" s="5"/>
      <c r="Q7" s="5"/>
      <c r="R7" s="5"/>
      <c r="S7" s="5"/>
      <c r="T7" s="5"/>
      <c r="U7" s="5"/>
      <c r="V7" s="5"/>
      <c r="W7" s="5"/>
      <c r="X7" s="5"/>
      <c r="Y7" s="5"/>
      <c r="Z7" s="5"/>
      <c r="AA7" s="5"/>
      <c r="AB7" s="5"/>
    </row>
    <row r="8" spans="1:28" ht="57">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313.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177</v>
      </c>
      <c r="L9" s="20"/>
      <c r="M9" s="18"/>
      <c r="N9" s="18"/>
      <c r="O9" s="4"/>
      <c r="P9" s="4"/>
      <c r="Q9" s="4"/>
      <c r="R9" s="4"/>
      <c r="S9" s="4"/>
      <c r="T9" s="4"/>
      <c r="U9" s="4"/>
      <c r="V9" s="4"/>
      <c r="W9" s="4"/>
      <c r="X9" s="4"/>
      <c r="Y9" s="4"/>
      <c r="Z9" s="4"/>
      <c r="AA9" s="4"/>
      <c r="AB9" s="4"/>
    </row>
    <row r="10" spans="1:28" ht="57">
      <c r="A10" s="22" t="s">
        <v>24</v>
      </c>
      <c r="B10" s="23">
        <v>0</v>
      </c>
      <c r="C10" s="23">
        <v>2050000000</v>
      </c>
      <c r="D10" s="24">
        <f t="shared" si="0"/>
        <v>2050000000</v>
      </c>
      <c r="E10" s="23">
        <v>0</v>
      </c>
      <c r="F10" s="23">
        <v>2050000000</v>
      </c>
      <c r="G10" s="24">
        <f t="shared" si="3"/>
        <v>2050000000</v>
      </c>
      <c r="H10" s="23">
        <v>0</v>
      </c>
      <c r="I10" s="23">
        <v>3154186288.0700002</v>
      </c>
      <c r="J10" s="24">
        <f t="shared" si="4"/>
        <v>3154186288.0700002</v>
      </c>
      <c r="K10" s="38" t="s">
        <v>149</v>
      </c>
      <c r="L10" s="20" t="s">
        <v>178</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4311015252+(4*522082373.71)</f>
        <v>6399344746.8400002</v>
      </c>
      <c r="J11" s="24">
        <f t="shared" si="4"/>
        <v>6399344746.8400002</v>
      </c>
      <c r="K11" s="38" t="s">
        <v>151</v>
      </c>
      <c r="L11" s="20" t="s">
        <v>178</v>
      </c>
      <c r="M11" s="18"/>
      <c r="N11" s="18"/>
      <c r="O11" s="4"/>
      <c r="P11" s="4"/>
      <c r="Q11" s="4"/>
      <c r="R11" s="4"/>
      <c r="S11" s="4"/>
      <c r="T11" s="4"/>
      <c r="U11" s="4"/>
      <c r="V11" s="4"/>
      <c r="W11" s="4"/>
      <c r="X11" s="4"/>
      <c r="Y11" s="4"/>
      <c r="Z11" s="4"/>
      <c r="AA11" s="4"/>
      <c r="AB11" s="4"/>
    </row>
    <row r="12" spans="1:28" ht="57">
      <c r="A12" s="22" t="s">
        <v>28</v>
      </c>
      <c r="B12" s="23">
        <v>0</v>
      </c>
      <c r="C12" s="23">
        <v>3650000000</v>
      </c>
      <c r="D12" s="24">
        <f t="shared" si="0"/>
        <v>3650000000</v>
      </c>
      <c r="E12" s="23">
        <v>0</v>
      </c>
      <c r="F12" s="23">
        <v>3650000000</v>
      </c>
      <c r="G12" s="24">
        <f t="shared" si="3"/>
        <v>3650000000</v>
      </c>
      <c r="H12" s="23">
        <v>0</v>
      </c>
      <c r="I12" s="23">
        <v>4686171731.0299997</v>
      </c>
      <c r="J12" s="24">
        <f t="shared" si="4"/>
        <v>4686171731.0299997</v>
      </c>
      <c r="K12" s="38" t="s">
        <v>152</v>
      </c>
      <c r="L12" s="20" t="s">
        <v>178</v>
      </c>
      <c r="M12" s="18"/>
      <c r="N12" s="18"/>
      <c r="O12" s="4"/>
      <c r="P12" s="4"/>
      <c r="Q12" s="4"/>
      <c r="R12" s="4"/>
      <c r="S12" s="4"/>
      <c r="T12" s="4"/>
      <c r="U12" s="4"/>
      <c r="V12" s="4"/>
      <c r="W12" s="4"/>
      <c r="X12" s="4"/>
      <c r="Y12" s="4"/>
      <c r="Z12" s="4"/>
      <c r="AA12" s="4"/>
      <c r="AB12" s="4"/>
    </row>
    <row r="13" spans="1:28" ht="28.5">
      <c r="A13" s="22" t="s">
        <v>29</v>
      </c>
      <c r="B13" s="24">
        <v>135000000</v>
      </c>
      <c r="C13" s="23">
        <v>0</v>
      </c>
      <c r="D13" s="24">
        <f t="shared" si="0"/>
        <v>135000000</v>
      </c>
      <c r="E13" s="23">
        <v>135000000</v>
      </c>
      <c r="F13" s="23">
        <v>0</v>
      </c>
      <c r="G13" s="24">
        <f t="shared" si="3"/>
        <v>135000000</v>
      </c>
      <c r="H13" s="23">
        <v>175249750.75</v>
      </c>
      <c r="I13" s="23">
        <v>0</v>
      </c>
      <c r="J13" s="24">
        <f t="shared" si="4"/>
        <v>175249750.75</v>
      </c>
      <c r="K13" s="38" t="s">
        <v>129</v>
      </c>
      <c r="L13" s="20" t="s">
        <v>169</v>
      </c>
      <c r="M13" s="18"/>
      <c r="N13" s="18"/>
      <c r="O13" s="4"/>
      <c r="P13" s="4"/>
      <c r="Q13" s="4"/>
      <c r="R13" s="4"/>
      <c r="S13" s="4"/>
      <c r="T13" s="4"/>
      <c r="U13" s="4"/>
      <c r="V13" s="4"/>
      <c r="W13" s="4"/>
      <c r="X13" s="4"/>
      <c r="Y13" s="4"/>
      <c r="Z13" s="4"/>
      <c r="AA13" s="4"/>
      <c r="AB13" s="4"/>
    </row>
    <row r="14" spans="1:28" ht="57">
      <c r="A14" s="22" t="s">
        <v>31</v>
      </c>
      <c r="B14" s="23">
        <v>0</v>
      </c>
      <c r="C14" s="23">
        <v>310000000</v>
      </c>
      <c r="D14" s="24">
        <f t="shared" si="0"/>
        <v>310000000</v>
      </c>
      <c r="E14" s="23">
        <v>0</v>
      </c>
      <c r="F14" s="23">
        <v>310000000</v>
      </c>
      <c r="G14" s="24">
        <f t="shared" si="3"/>
        <v>310000000</v>
      </c>
      <c r="H14" s="23">
        <v>0</v>
      </c>
      <c r="I14" s="23">
        <v>469418517.42000002</v>
      </c>
      <c r="J14" s="24">
        <f t="shared" si="4"/>
        <v>469418517.42000002</v>
      </c>
      <c r="K14" s="38" t="s">
        <v>152</v>
      </c>
      <c r="L14" s="20" t="s">
        <v>178</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179</v>
      </c>
      <c r="L15" s="20"/>
      <c r="M15" s="18"/>
      <c r="N15" s="18"/>
      <c r="O15" s="4"/>
      <c r="P15" s="4"/>
      <c r="Q15" s="4"/>
      <c r="R15" s="4"/>
      <c r="S15" s="4"/>
      <c r="T15" s="4"/>
      <c r="U15" s="4"/>
      <c r="V15" s="4"/>
      <c r="W15" s="4"/>
      <c r="X15" s="4"/>
      <c r="Y15" s="4"/>
      <c r="Z15" s="4"/>
      <c r="AA15" s="4"/>
      <c r="AB15" s="4"/>
    </row>
    <row r="16" spans="1:28" ht="28.5">
      <c r="A16" s="22" t="s">
        <v>37</v>
      </c>
      <c r="B16" s="24">
        <f>71040828+96619306</f>
        <v>167660134</v>
      </c>
      <c r="C16" s="23">
        <v>0</v>
      </c>
      <c r="D16" s="24">
        <f t="shared" si="0"/>
        <v>167660134</v>
      </c>
      <c r="E16" s="24">
        <f>71040828+96619306</f>
        <v>167660134</v>
      </c>
      <c r="F16" s="23">
        <v>0</v>
      </c>
      <c r="G16" s="24">
        <f t="shared" si="3"/>
        <v>167660134</v>
      </c>
      <c r="H16" s="24">
        <f>92221388.1494106+125425994.772368</f>
        <v>217647382.92177862</v>
      </c>
      <c r="I16" s="23"/>
      <c r="J16" s="24">
        <f t="shared" si="4"/>
        <v>217647382.92177862</v>
      </c>
      <c r="K16" s="38" t="s">
        <v>133</v>
      </c>
      <c r="L16" s="20"/>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7314621165.2799997</v>
      </c>
      <c r="F17" s="45">
        <f>SUM(F4:F16)+1867777770.73+853260124.99</f>
        <v>22598038968.720001</v>
      </c>
      <c r="G17" s="45">
        <f t="shared" ref="G17:H17" si="6">SUM(G4:G16)</f>
        <v>29912660134</v>
      </c>
      <c r="H17" s="45">
        <f t="shared" si="6"/>
        <v>8426870158.8917789</v>
      </c>
      <c r="I17" s="45">
        <f>SUM(I4:I16)+1967330741.87+919133221.31</f>
        <v>28529171355.339996</v>
      </c>
      <c r="J17" s="45">
        <f>SUM(J4:J16)</f>
        <v>36961188660.271774</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13481676410.279999</v>
      </c>
      <c r="F23" s="73">
        <f t="shared" si="11"/>
        <v>24208090918.720001</v>
      </c>
      <c r="G23" s="73">
        <f t="shared" si="11"/>
        <v>37689767329</v>
      </c>
      <c r="H23" s="73">
        <f t="shared" si="11"/>
        <v>14593925403.891779</v>
      </c>
      <c r="I23" s="73">
        <f t="shared" si="11"/>
        <v>30139223305.339996</v>
      </c>
      <c r="J23" s="73">
        <f t="shared" si="11"/>
        <v>44738295855.271774</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180</v>
      </c>
      <c r="F2" s="158"/>
      <c r="G2" s="159"/>
      <c r="H2" s="160" t="s">
        <v>181</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2000000000+282312603.74+2325834136.37+8387.5+1190000000</f>
        <v>5798155127.6099997</v>
      </c>
      <c r="J5" s="26">
        <f t="shared" si="2"/>
        <v>5798155127.6099997</v>
      </c>
      <c r="K5" s="27" t="s">
        <v>182</v>
      </c>
      <c r="L5" s="20"/>
      <c r="M5" s="18"/>
      <c r="N5" s="18"/>
      <c r="O5" s="4"/>
      <c r="P5" s="4"/>
      <c r="Q5" s="4"/>
      <c r="R5" s="4"/>
      <c r="S5" s="4"/>
      <c r="T5" s="4"/>
      <c r="U5" s="4"/>
      <c r="V5" s="4"/>
      <c r="W5" s="4"/>
      <c r="X5" s="4"/>
      <c r="Y5" s="4"/>
      <c r="Z5" s="4"/>
      <c r="AA5" s="4"/>
      <c r="AB5" s="4"/>
    </row>
    <row r="6" spans="1:28" ht="14.25">
      <c r="A6" s="22" t="s">
        <v>12</v>
      </c>
      <c r="B6" s="29">
        <v>2375000000</v>
      </c>
      <c r="C6" s="30">
        <v>125000000</v>
      </c>
      <c r="D6" s="30">
        <f t="shared" si="0"/>
        <v>2500000000</v>
      </c>
      <c r="E6" s="74">
        <v>686343941.11588204</v>
      </c>
      <c r="F6" s="74" t="s">
        <v>183</v>
      </c>
      <c r="G6" s="74">
        <v>2500000000</v>
      </c>
      <c r="H6" s="74">
        <v>1270917872.6977401</v>
      </c>
      <c r="I6" s="74" t="s">
        <v>184</v>
      </c>
      <c r="J6" s="74">
        <f>H6+1956375041.63686</f>
        <v>3227292914.3346</v>
      </c>
      <c r="K6" s="32" t="s">
        <v>185</v>
      </c>
      <c r="L6" s="20" t="s">
        <v>186</v>
      </c>
      <c r="M6" s="18"/>
      <c r="N6" s="18"/>
      <c r="O6" s="5"/>
      <c r="P6" s="5"/>
      <c r="Q6" s="5"/>
      <c r="R6" s="5"/>
      <c r="S6" s="5"/>
      <c r="T6" s="5"/>
      <c r="U6" s="5"/>
      <c r="V6" s="5"/>
      <c r="W6" s="5"/>
      <c r="X6" s="5"/>
      <c r="Y6" s="5"/>
      <c r="Z6" s="5"/>
      <c r="AA6" s="5"/>
      <c r="AB6" s="5"/>
    </row>
    <row r="7" spans="1:28" ht="199.5">
      <c r="A7" s="28" t="s">
        <v>16</v>
      </c>
      <c r="B7" s="29">
        <v>1500000000</v>
      </c>
      <c r="C7" s="23">
        <v>0</v>
      </c>
      <c r="D7" s="24">
        <f t="shared" si="0"/>
        <v>1500000000</v>
      </c>
      <c r="E7" s="74">
        <v>646739875.01411796</v>
      </c>
      <c r="F7" s="74" t="s">
        <v>187</v>
      </c>
      <c r="G7" s="24">
        <v>1500000000</v>
      </c>
      <c r="H7" s="23">
        <v>1017242527.28654</v>
      </c>
      <c r="I7" s="74" t="s">
        <v>188</v>
      </c>
      <c r="J7" s="24">
        <f>1936375748.60076</f>
        <v>1936375748.60076</v>
      </c>
      <c r="K7" s="36" t="s">
        <v>189</v>
      </c>
      <c r="L7" s="20" t="s">
        <v>186</v>
      </c>
      <c r="M7" s="37" t="s">
        <v>176</v>
      </c>
      <c r="N7" s="18"/>
      <c r="O7" s="5"/>
      <c r="P7" s="5"/>
      <c r="Q7" s="5"/>
      <c r="R7" s="5"/>
      <c r="S7" s="5"/>
      <c r="T7" s="5"/>
      <c r="U7" s="5"/>
      <c r="V7" s="5"/>
      <c r="W7" s="5"/>
      <c r="X7" s="5"/>
      <c r="Y7" s="5"/>
      <c r="Z7" s="5"/>
      <c r="AA7" s="5"/>
      <c r="AB7" s="5"/>
    </row>
    <row r="8" spans="1:28"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190</v>
      </c>
      <c r="L9" s="20"/>
      <c r="M9" s="18"/>
      <c r="N9" s="18"/>
      <c r="O9" s="4"/>
      <c r="P9" s="4"/>
      <c r="Q9" s="4"/>
      <c r="R9" s="4"/>
      <c r="S9" s="4"/>
      <c r="T9" s="4"/>
      <c r="U9" s="4"/>
      <c r="V9" s="4"/>
      <c r="W9" s="4"/>
      <c r="X9" s="4"/>
      <c r="Y9" s="4"/>
      <c r="Z9" s="4"/>
      <c r="AA9" s="4"/>
      <c r="AB9" s="4"/>
    </row>
    <row r="10" spans="1:28" ht="71.25">
      <c r="A10" s="22" t="s">
        <v>24</v>
      </c>
      <c r="B10" s="23">
        <v>0</v>
      </c>
      <c r="C10" s="23">
        <v>2050000000</v>
      </c>
      <c r="D10" s="24">
        <f t="shared" si="0"/>
        <v>2050000000</v>
      </c>
      <c r="E10" s="23">
        <v>0</v>
      </c>
      <c r="F10" s="23">
        <v>2050000000</v>
      </c>
      <c r="G10" s="24">
        <f t="shared" si="3"/>
        <v>2050000000</v>
      </c>
      <c r="H10" s="23">
        <v>0</v>
      </c>
      <c r="I10" s="23">
        <v>3124672575.7199998</v>
      </c>
      <c r="J10" s="24">
        <f t="shared" si="4"/>
        <v>3124672575.7199998</v>
      </c>
      <c r="K10" s="38" t="s">
        <v>149</v>
      </c>
      <c r="L10" s="20" t="s">
        <v>191</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4287098367.43+(4*522082373.71)</f>
        <v>6375427862.2699995</v>
      </c>
      <c r="J11" s="24">
        <f t="shared" si="4"/>
        <v>6375427862.2699995</v>
      </c>
      <c r="K11" s="38" t="s">
        <v>151</v>
      </c>
      <c r="L11" s="20" t="s">
        <v>191</v>
      </c>
      <c r="M11" s="18"/>
      <c r="N11" s="18"/>
      <c r="O11" s="4"/>
      <c r="P11" s="4"/>
      <c r="Q11" s="4"/>
      <c r="R11" s="4"/>
      <c r="S11" s="4"/>
      <c r="T11" s="4"/>
      <c r="U11" s="4"/>
      <c r="V11" s="4"/>
      <c r="W11" s="4"/>
      <c r="X11" s="4"/>
      <c r="Y11" s="4"/>
      <c r="Z11" s="4"/>
      <c r="AA11" s="4"/>
      <c r="AB11" s="4"/>
    </row>
    <row r="12" spans="1:28" ht="71.25">
      <c r="A12" s="22" t="s">
        <v>28</v>
      </c>
      <c r="B12" s="23">
        <v>0</v>
      </c>
      <c r="C12" s="23">
        <v>3650000000</v>
      </c>
      <c r="D12" s="24">
        <f t="shared" si="0"/>
        <v>3650000000</v>
      </c>
      <c r="E12" s="23">
        <v>0</v>
      </c>
      <c r="F12" s="23">
        <v>3650000000</v>
      </c>
      <c r="G12" s="24">
        <f t="shared" si="3"/>
        <v>3650000000</v>
      </c>
      <c r="H12" s="23">
        <v>0</v>
      </c>
      <c r="I12" s="23">
        <v>4665452323.3500004</v>
      </c>
      <c r="J12" s="24">
        <f t="shared" si="4"/>
        <v>4665452323.3500004</v>
      </c>
      <c r="K12" s="38" t="s">
        <v>152</v>
      </c>
      <c r="L12" s="20" t="s">
        <v>191</v>
      </c>
      <c r="M12" s="18"/>
      <c r="N12" s="18"/>
      <c r="O12" s="4"/>
      <c r="P12" s="4"/>
      <c r="Q12" s="4"/>
      <c r="R12" s="4"/>
      <c r="S12" s="4"/>
      <c r="T12" s="4"/>
      <c r="U12" s="4"/>
      <c r="V12" s="4"/>
      <c r="W12" s="4"/>
      <c r="X12" s="4"/>
      <c r="Y12" s="4"/>
      <c r="Z12" s="4"/>
      <c r="AA12" s="4"/>
      <c r="AB12" s="4"/>
    </row>
    <row r="13" spans="1:28" ht="42.75">
      <c r="A13" s="22" t="s">
        <v>29</v>
      </c>
      <c r="B13" s="24">
        <v>135000000</v>
      </c>
      <c r="C13" s="23">
        <v>0</v>
      </c>
      <c r="D13" s="24">
        <f t="shared" si="0"/>
        <v>135000000</v>
      </c>
      <c r="E13" s="23">
        <v>135000000</v>
      </c>
      <c r="F13" s="23">
        <v>0</v>
      </c>
      <c r="G13" s="24">
        <f t="shared" si="3"/>
        <v>135000000</v>
      </c>
      <c r="H13" s="23">
        <v>174273817.37</v>
      </c>
      <c r="I13" s="23">
        <v>0</v>
      </c>
      <c r="J13" s="24">
        <f t="shared" si="4"/>
        <v>174273817.37</v>
      </c>
      <c r="K13" s="38" t="s">
        <v>129</v>
      </c>
      <c r="L13" s="20"/>
      <c r="M13" s="18"/>
      <c r="N13" s="18"/>
      <c r="O13" s="4"/>
      <c r="P13" s="4"/>
      <c r="Q13" s="4"/>
      <c r="R13" s="4"/>
      <c r="S13" s="4"/>
      <c r="T13" s="4"/>
      <c r="U13" s="4"/>
      <c r="V13" s="4"/>
      <c r="W13" s="4"/>
      <c r="X13" s="4"/>
      <c r="Y13" s="4"/>
      <c r="Z13" s="4"/>
      <c r="AA13" s="4"/>
      <c r="AB13" s="4"/>
    </row>
    <row r="14" spans="1:28" ht="71.25">
      <c r="A14" s="22" t="s">
        <v>31</v>
      </c>
      <c r="B14" s="23">
        <v>0</v>
      </c>
      <c r="C14" s="23">
        <v>310000000</v>
      </c>
      <c r="D14" s="24">
        <f t="shared" si="0"/>
        <v>310000000</v>
      </c>
      <c r="E14" s="23">
        <v>0</v>
      </c>
      <c r="F14" s="23">
        <v>310000000</v>
      </c>
      <c r="G14" s="24">
        <f t="shared" si="3"/>
        <v>310000000</v>
      </c>
      <c r="H14" s="23">
        <v>0</v>
      </c>
      <c r="I14" s="23">
        <v>465451054.49000001</v>
      </c>
      <c r="J14" s="24">
        <f t="shared" si="4"/>
        <v>465451054.49000001</v>
      </c>
      <c r="K14" s="38" t="s">
        <v>152</v>
      </c>
      <c r="L14" s="20" t="s">
        <v>191</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192</v>
      </c>
      <c r="L15" s="20"/>
      <c r="M15" s="18"/>
      <c r="N15" s="18"/>
      <c r="O15" s="4"/>
      <c r="P15" s="4"/>
      <c r="Q15" s="4"/>
      <c r="R15" s="4"/>
      <c r="S15" s="4"/>
      <c r="T15" s="4"/>
      <c r="U15" s="4"/>
      <c r="V15" s="4"/>
      <c r="W15" s="4"/>
      <c r="X15" s="4"/>
      <c r="Y15" s="4"/>
      <c r="Z15" s="4"/>
      <c r="AA15" s="4"/>
      <c r="AB15" s="4"/>
    </row>
    <row r="16" spans="1:28" ht="42.75">
      <c r="A16" s="22" t="s">
        <v>37</v>
      </c>
      <c r="B16" s="24">
        <f>71040828+96619306</f>
        <v>167660134</v>
      </c>
      <c r="C16" s="23">
        <v>0</v>
      </c>
      <c r="D16" s="24">
        <f t="shared" si="0"/>
        <v>167660134</v>
      </c>
      <c r="E16" s="24">
        <f>71040828+96619306</f>
        <v>167660134</v>
      </c>
      <c r="F16" s="23">
        <v>0</v>
      </c>
      <c r="G16" s="24">
        <f t="shared" si="3"/>
        <v>167660134</v>
      </c>
      <c r="H16" s="24">
        <f>91707824.333145+124727520.65669</f>
        <v>216435344.98983499</v>
      </c>
      <c r="I16" s="23"/>
      <c r="J16" s="24">
        <f t="shared" si="4"/>
        <v>216435344.98983499</v>
      </c>
      <c r="K16" s="38" t="s">
        <v>133</v>
      </c>
      <c r="L16" s="20"/>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7368742877.1300001</v>
      </c>
      <c r="F17" s="45">
        <f>SUM(F4:F16)+1797281123.78+853260124.99</f>
        <v>22527542321.77</v>
      </c>
      <c r="G17" s="45">
        <f t="shared" ref="G17:H17" si="6">SUM(G4:G16)</f>
        <v>29912660134</v>
      </c>
      <c r="H17" s="45">
        <f t="shared" si="6"/>
        <v>8411868489.3441143</v>
      </c>
      <c r="I17" s="45">
        <f>SUM(I4:I16)+1956375041.63+919133221.31</f>
        <v>28426098187.570004</v>
      </c>
      <c r="J17" s="45">
        <f>SUM(J4:J16)</f>
        <v>36837966676.925201</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13535798122.130001</v>
      </c>
      <c r="F23" s="73">
        <f t="shared" si="11"/>
        <v>24137594271.77</v>
      </c>
      <c r="G23" s="73">
        <f t="shared" si="11"/>
        <v>37689767329</v>
      </c>
      <c r="H23" s="73">
        <f t="shared" si="11"/>
        <v>14578923734.344114</v>
      </c>
      <c r="I23" s="73">
        <f t="shared" si="11"/>
        <v>30036150137.570004</v>
      </c>
      <c r="J23" s="73">
        <f t="shared" si="11"/>
        <v>44615073871.925201</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193</v>
      </c>
      <c r="F2" s="158"/>
      <c r="G2" s="159"/>
      <c r="H2" s="160" t="s">
        <v>194</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2000000000+282312603.74+2325834136.37+8387.5+1158000000</f>
        <v>5766155127.6099997</v>
      </c>
      <c r="J5" s="26">
        <f t="shared" si="2"/>
        <v>5766155127.6099997</v>
      </c>
      <c r="K5" s="75" t="s">
        <v>195</v>
      </c>
      <c r="L5" s="20"/>
      <c r="M5" s="18"/>
      <c r="N5" s="18"/>
      <c r="O5" s="4"/>
      <c r="P5" s="4"/>
      <c r="Q5" s="4"/>
      <c r="R5" s="4"/>
      <c r="S5" s="4"/>
      <c r="T5" s="4"/>
      <c r="U5" s="4"/>
      <c r="V5" s="4"/>
      <c r="W5" s="4"/>
      <c r="X5" s="4"/>
      <c r="Y5" s="4"/>
      <c r="Z5" s="4"/>
      <c r="AA5" s="4"/>
      <c r="AB5" s="4"/>
    </row>
    <row r="6" spans="1:28" ht="14.25">
      <c r="A6" s="22" t="s">
        <v>12</v>
      </c>
      <c r="B6" s="29">
        <v>2375000000</v>
      </c>
      <c r="C6" s="30">
        <v>125000000</v>
      </c>
      <c r="D6" s="30">
        <f t="shared" si="0"/>
        <v>2500000000</v>
      </c>
      <c r="E6" s="74">
        <v>702718876.22000003</v>
      </c>
      <c r="F6" s="74" t="s">
        <v>196</v>
      </c>
      <c r="G6" s="74">
        <v>2500000000</v>
      </c>
      <c r="H6" s="74">
        <f>1268617539.74</f>
        <v>1268617539.74</v>
      </c>
      <c r="I6" s="74" t="s">
        <v>197</v>
      </c>
      <c r="J6" s="74">
        <f>H6+1911855754.44983</f>
        <v>3180473294.1898298</v>
      </c>
      <c r="K6" s="74" t="s">
        <v>198</v>
      </c>
      <c r="L6" s="20" t="s">
        <v>199</v>
      </c>
      <c r="M6" s="18"/>
      <c r="N6" s="18"/>
      <c r="O6" s="5"/>
      <c r="P6" s="5"/>
      <c r="Q6" s="5"/>
      <c r="R6" s="5"/>
      <c r="S6" s="5"/>
      <c r="T6" s="5"/>
      <c r="U6" s="5"/>
      <c r="V6" s="5"/>
      <c r="W6" s="5"/>
      <c r="X6" s="5"/>
      <c r="Y6" s="5"/>
      <c r="Z6" s="5"/>
      <c r="AA6" s="5"/>
      <c r="AB6" s="5"/>
    </row>
    <row r="7" spans="1:28" ht="128.25">
      <c r="A7" s="28" t="s">
        <v>16</v>
      </c>
      <c r="B7" s="29">
        <v>1500000000</v>
      </c>
      <c r="C7" s="23">
        <v>0</v>
      </c>
      <c r="D7" s="24">
        <f t="shared" si="0"/>
        <v>1500000000</v>
      </c>
      <c r="E7" s="74">
        <v>766739875.00999999</v>
      </c>
      <c r="F7" s="74" t="s">
        <v>200</v>
      </c>
      <c r="G7" s="24">
        <v>1500000000</v>
      </c>
      <c r="H7" s="23">
        <v>1002484985.90838</v>
      </c>
      <c r="I7" s="74" t="s">
        <v>201</v>
      </c>
      <c r="J7" s="24">
        <f>H7+905798990.605472</f>
        <v>1908283976.5138521</v>
      </c>
      <c r="K7" s="38" t="s">
        <v>202</v>
      </c>
      <c r="L7" s="20" t="s">
        <v>199</v>
      </c>
      <c r="M7" s="37" t="s">
        <v>176</v>
      </c>
      <c r="N7" s="18"/>
      <c r="O7" s="5"/>
      <c r="P7" s="5"/>
      <c r="Q7" s="5"/>
      <c r="R7" s="5"/>
      <c r="S7" s="5"/>
      <c r="T7" s="5"/>
      <c r="U7" s="5"/>
      <c r="V7" s="5"/>
      <c r="W7" s="5"/>
      <c r="X7" s="5"/>
      <c r="Y7" s="5"/>
      <c r="Z7" s="5"/>
      <c r="AA7" s="5"/>
      <c r="AB7" s="5"/>
    </row>
    <row r="8" spans="1:28"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203</v>
      </c>
      <c r="L9" s="20"/>
      <c r="M9" s="18"/>
      <c r="N9" s="18"/>
      <c r="O9" s="4"/>
      <c r="P9" s="4"/>
      <c r="Q9" s="4"/>
      <c r="R9" s="4"/>
      <c r="S9" s="4"/>
      <c r="T9" s="4"/>
      <c r="U9" s="4"/>
      <c r="V9" s="4"/>
      <c r="W9" s="4"/>
      <c r="X9" s="4"/>
      <c r="Y9" s="4"/>
      <c r="Z9" s="4"/>
      <c r="AA9" s="4"/>
      <c r="AB9" s="4"/>
    </row>
    <row r="10" spans="1:28" ht="71.25">
      <c r="A10" s="22" t="s">
        <v>24</v>
      </c>
      <c r="B10" s="23">
        <v>0</v>
      </c>
      <c r="C10" s="23">
        <v>2050000000</v>
      </c>
      <c r="D10" s="24">
        <f t="shared" si="0"/>
        <v>2050000000</v>
      </c>
      <c r="E10" s="23">
        <v>0</v>
      </c>
      <c r="F10" s="23">
        <v>2050000000</v>
      </c>
      <c r="G10" s="24">
        <f t="shared" si="3"/>
        <v>2050000000</v>
      </c>
      <c r="H10" s="23">
        <v>0</v>
      </c>
      <c r="I10" s="23">
        <v>3064300359.6799998</v>
      </c>
      <c r="J10" s="24">
        <f t="shared" si="4"/>
        <v>3064300359.6799998</v>
      </c>
      <c r="K10" s="38" t="s">
        <v>149</v>
      </c>
      <c r="L10" s="20"/>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4251266509.31+(4*522082373.71)</f>
        <v>6339596004.1499996</v>
      </c>
      <c r="J11" s="24">
        <f t="shared" si="4"/>
        <v>6339596004.1499996</v>
      </c>
      <c r="K11" s="38" t="s">
        <v>151</v>
      </c>
      <c r="L11" s="20"/>
      <c r="M11" s="18"/>
      <c r="N11" s="18"/>
      <c r="O11" s="4"/>
      <c r="P11" s="4"/>
      <c r="Q11" s="4"/>
      <c r="R11" s="4"/>
      <c r="S11" s="4"/>
      <c r="T11" s="4"/>
      <c r="U11" s="4"/>
      <c r="V11" s="4"/>
      <c r="W11" s="4"/>
      <c r="X11" s="4"/>
      <c r="Y11" s="4"/>
      <c r="Z11" s="4"/>
      <c r="AA11" s="4"/>
      <c r="AB11" s="4"/>
    </row>
    <row r="12" spans="1:28" ht="71.25">
      <c r="A12" s="22" t="s">
        <v>28</v>
      </c>
      <c r="B12" s="23">
        <v>0</v>
      </c>
      <c r="C12" s="23">
        <v>3650000000</v>
      </c>
      <c r="D12" s="24">
        <f t="shared" si="0"/>
        <v>3650000000</v>
      </c>
      <c r="E12" s="23">
        <v>0</v>
      </c>
      <c r="F12" s="23">
        <v>3650000000</v>
      </c>
      <c r="G12" s="24">
        <f t="shared" si="3"/>
        <v>3650000000</v>
      </c>
      <c r="H12" s="23">
        <v>0</v>
      </c>
      <c r="I12" s="23">
        <v>4607341810.9399996</v>
      </c>
      <c r="J12" s="24">
        <f t="shared" si="4"/>
        <v>4607341810.9399996</v>
      </c>
      <c r="K12" s="38" t="s">
        <v>152</v>
      </c>
      <c r="L12" s="20"/>
      <c r="M12" s="18"/>
      <c r="N12" s="18"/>
      <c r="O12" s="4"/>
      <c r="P12" s="4"/>
      <c r="Q12" s="4"/>
      <c r="R12" s="4"/>
      <c r="S12" s="4"/>
      <c r="T12" s="4"/>
      <c r="U12" s="4"/>
      <c r="V12" s="4"/>
      <c r="W12" s="4"/>
      <c r="X12" s="4"/>
      <c r="Y12" s="4"/>
      <c r="Z12" s="4"/>
      <c r="AA12" s="4"/>
      <c r="AB12" s="4"/>
    </row>
    <row r="13" spans="1:28" ht="42.75">
      <c r="A13" s="22" t="s">
        <v>29</v>
      </c>
      <c r="B13" s="24">
        <v>135000000</v>
      </c>
      <c r="C13" s="23">
        <v>0</v>
      </c>
      <c r="D13" s="24">
        <f t="shared" si="0"/>
        <v>135000000</v>
      </c>
      <c r="E13" s="23">
        <v>135000000</v>
      </c>
      <c r="F13" s="23">
        <v>0</v>
      </c>
      <c r="G13" s="24">
        <f t="shared" si="3"/>
        <v>135000000</v>
      </c>
      <c r="H13" s="23">
        <v>171745557.88</v>
      </c>
      <c r="I13" s="23">
        <v>0</v>
      </c>
      <c r="J13" s="24">
        <f t="shared" si="4"/>
        <v>171745557.88</v>
      </c>
      <c r="K13" s="38" t="s">
        <v>204</v>
      </c>
      <c r="L13" s="20"/>
      <c r="M13" s="18"/>
      <c r="N13" s="18"/>
      <c r="O13" s="4"/>
      <c r="P13" s="4"/>
      <c r="Q13" s="4"/>
      <c r="R13" s="4"/>
      <c r="S13" s="4"/>
      <c r="T13" s="4"/>
      <c r="U13" s="4"/>
      <c r="V13" s="4"/>
      <c r="W13" s="4"/>
      <c r="X13" s="4"/>
      <c r="Y13" s="4"/>
      <c r="Z13" s="4"/>
      <c r="AA13" s="4"/>
      <c r="AB13" s="4"/>
    </row>
    <row r="14" spans="1:28" ht="71.25">
      <c r="A14" s="22" t="s">
        <v>31</v>
      </c>
      <c r="B14" s="23">
        <v>0</v>
      </c>
      <c r="C14" s="23">
        <v>310000000</v>
      </c>
      <c r="D14" s="24">
        <f t="shared" si="0"/>
        <v>310000000</v>
      </c>
      <c r="E14" s="23">
        <v>0</v>
      </c>
      <c r="F14" s="23">
        <v>310000000</v>
      </c>
      <c r="G14" s="24">
        <f t="shared" si="3"/>
        <v>310000000</v>
      </c>
      <c r="H14" s="23">
        <v>0</v>
      </c>
      <c r="I14" s="23">
        <v>457265412.24000001</v>
      </c>
      <c r="J14" s="24">
        <f t="shared" si="4"/>
        <v>457265412.24000001</v>
      </c>
      <c r="K14" s="38" t="s">
        <v>152</v>
      </c>
      <c r="L14" s="20"/>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205</v>
      </c>
      <c r="L15" s="20"/>
      <c r="M15" s="18"/>
      <c r="N15" s="18"/>
      <c r="O15" s="4"/>
      <c r="P15" s="4"/>
      <c r="Q15" s="4"/>
      <c r="R15" s="4"/>
      <c r="S15" s="4"/>
      <c r="T15" s="4"/>
      <c r="U15" s="4"/>
      <c r="V15" s="4"/>
      <c r="W15" s="4"/>
      <c r="X15" s="4"/>
      <c r="Y15" s="4"/>
      <c r="Z15" s="4"/>
      <c r="AA15" s="4"/>
      <c r="AB15" s="4"/>
    </row>
    <row r="16" spans="1:28" ht="42.75">
      <c r="A16" s="22" t="s">
        <v>37</v>
      </c>
      <c r="B16" s="24">
        <f>71040828+96619306</f>
        <v>167660134</v>
      </c>
      <c r="C16" s="23">
        <v>0</v>
      </c>
      <c r="D16" s="24">
        <f t="shared" si="0"/>
        <v>167660134</v>
      </c>
      <c r="E16" s="24">
        <f>71040828+96619306</f>
        <v>167660134</v>
      </c>
      <c r="F16" s="23">
        <v>0</v>
      </c>
      <c r="G16" s="24">
        <f t="shared" si="3"/>
        <v>167660134</v>
      </c>
      <c r="H16" s="24">
        <f>90377382.5004511+122918048.974459</f>
        <v>213295431.47491011</v>
      </c>
      <c r="I16" s="23"/>
      <c r="J16" s="24">
        <f t="shared" si="4"/>
        <v>213295431.47491011</v>
      </c>
      <c r="K16" s="38" t="s">
        <v>204</v>
      </c>
      <c r="L16" s="20"/>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8389142442.0032902</v>
      </c>
      <c r="I17" s="45">
        <f>SUM(I4:I16)+1911855754.44+905798990.6</f>
        <v>28173744440.849995</v>
      </c>
      <c r="J17" s="45">
        <f>SUM(J4:J16)</f>
        <v>36562886882.868584</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14556197687.00329</v>
      </c>
      <c r="I23" s="73">
        <f t="shared" si="11"/>
        <v>29783796390.849995</v>
      </c>
      <c r="J23" s="73">
        <f t="shared" si="11"/>
        <v>44339994077.868584</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5" t="s">
        <v>0</v>
      </c>
      <c r="B2" s="157" t="s">
        <v>1</v>
      </c>
      <c r="C2" s="158"/>
      <c r="D2" s="159"/>
      <c r="E2" s="157" t="s">
        <v>206</v>
      </c>
      <c r="F2" s="158"/>
      <c r="G2" s="159"/>
      <c r="H2" s="160" t="s">
        <v>207</v>
      </c>
      <c r="I2" s="158"/>
      <c r="J2" s="159"/>
      <c r="K2" s="161" t="s">
        <v>4</v>
      </c>
      <c r="L2" s="162" t="s">
        <v>48</v>
      </c>
      <c r="M2" s="2"/>
      <c r="N2" s="2"/>
      <c r="O2" s="2"/>
      <c r="P2" s="2"/>
      <c r="Q2" s="2"/>
      <c r="R2" s="2"/>
      <c r="S2" s="2"/>
      <c r="T2" s="2"/>
      <c r="U2" s="2"/>
      <c r="V2" s="2"/>
      <c r="W2" s="2"/>
      <c r="X2" s="2"/>
      <c r="Y2" s="2"/>
      <c r="Z2" s="2"/>
      <c r="AA2" s="2"/>
      <c r="AB2" s="2"/>
    </row>
    <row r="3" spans="1:28" ht="28.5" customHeight="1">
      <c r="A3" s="156"/>
      <c r="B3" s="6" t="s">
        <v>5</v>
      </c>
      <c r="C3" s="7" t="s">
        <v>6</v>
      </c>
      <c r="D3" s="8" t="s">
        <v>7</v>
      </c>
      <c r="E3" s="6" t="s">
        <v>5</v>
      </c>
      <c r="F3" s="7" t="s">
        <v>6</v>
      </c>
      <c r="G3" s="8" t="s">
        <v>7</v>
      </c>
      <c r="H3" s="6" t="s">
        <v>5</v>
      </c>
      <c r="I3" s="7" t="s">
        <v>6</v>
      </c>
      <c r="J3" s="8" t="s">
        <v>7</v>
      </c>
      <c r="K3" s="156"/>
      <c r="L3" s="154"/>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2000000000+282312603.74+2325834136.37+8387.5+1175000000</f>
        <v>5783155127.6099997</v>
      </c>
      <c r="J5" s="26">
        <f t="shared" si="2"/>
        <v>5783155127.6099997</v>
      </c>
      <c r="K5" s="27" t="s">
        <v>208</v>
      </c>
      <c r="L5" s="20"/>
      <c r="M5" s="18"/>
      <c r="N5" s="18"/>
      <c r="O5" s="4"/>
      <c r="P5" s="4"/>
      <c r="Q5" s="4"/>
      <c r="R5" s="4"/>
      <c r="S5" s="4"/>
      <c r="T5" s="4"/>
      <c r="U5" s="4"/>
      <c r="V5" s="4"/>
      <c r="W5" s="4"/>
      <c r="X5" s="4"/>
      <c r="Y5" s="4"/>
      <c r="Z5" s="4"/>
      <c r="AA5" s="4"/>
      <c r="AB5" s="4"/>
    </row>
    <row r="6" spans="1:28" ht="14.25">
      <c r="A6" s="22" t="s">
        <v>12</v>
      </c>
      <c r="B6" s="29">
        <v>2375000000</v>
      </c>
      <c r="C6" s="30">
        <v>125000000</v>
      </c>
      <c r="D6" s="30">
        <f t="shared" si="0"/>
        <v>2500000000</v>
      </c>
      <c r="E6" s="74">
        <v>702718876.22000003</v>
      </c>
      <c r="F6" s="74" t="s">
        <v>209</v>
      </c>
      <c r="G6" s="74">
        <v>2500000000</v>
      </c>
      <c r="H6" s="74">
        <f>1254272392.70351</f>
        <v>1254272392.70351</v>
      </c>
      <c r="I6" s="74" t="s">
        <v>210</v>
      </c>
      <c r="J6" s="74">
        <f>H6+1931289658.75695</f>
        <v>3185562051.4604597</v>
      </c>
      <c r="K6" s="32" t="s">
        <v>211</v>
      </c>
      <c r="L6" s="20" t="s">
        <v>212</v>
      </c>
      <c r="M6" s="18"/>
      <c r="N6" s="18"/>
      <c r="O6" s="5"/>
      <c r="P6" s="5"/>
      <c r="Q6" s="5"/>
      <c r="R6" s="5"/>
      <c r="S6" s="5"/>
      <c r="T6" s="5"/>
      <c r="U6" s="5"/>
      <c r="V6" s="5"/>
      <c r="W6" s="5"/>
      <c r="X6" s="5"/>
      <c r="Y6" s="5"/>
      <c r="Z6" s="5"/>
      <c r="AA6" s="5"/>
      <c r="AB6" s="5"/>
    </row>
    <row r="7" spans="1:28" ht="199.5">
      <c r="A7" s="28" t="s">
        <v>16</v>
      </c>
      <c r="B7" s="29">
        <v>1500000000</v>
      </c>
      <c r="C7" s="23">
        <v>0</v>
      </c>
      <c r="D7" s="24">
        <f t="shared" si="0"/>
        <v>1500000000</v>
      </c>
      <c r="E7" s="74">
        <v>526739875.00999999</v>
      </c>
      <c r="F7" s="74" t="s">
        <v>213</v>
      </c>
      <c r="G7" s="24">
        <v>1500000000</v>
      </c>
      <c r="H7" s="23">
        <v>1004088961.89</v>
      </c>
      <c r="I7" s="74" t="s">
        <v>214</v>
      </c>
      <c r="J7" s="24">
        <f>1911337230.87628</f>
        <v>1911337230.8762801</v>
      </c>
      <c r="K7" s="36" t="s">
        <v>215</v>
      </c>
      <c r="L7" s="20" t="s">
        <v>212</v>
      </c>
      <c r="M7" s="37" t="s">
        <v>176</v>
      </c>
      <c r="N7" s="18"/>
      <c r="O7" s="5"/>
      <c r="P7" s="5"/>
      <c r="Q7" s="5"/>
      <c r="R7" s="5"/>
      <c r="S7" s="5"/>
      <c r="T7" s="5"/>
      <c r="U7" s="5"/>
      <c r="V7" s="5"/>
      <c r="W7" s="5"/>
      <c r="X7" s="5"/>
      <c r="Y7" s="5"/>
      <c r="Z7" s="5"/>
      <c r="AA7" s="5"/>
      <c r="AB7" s="5"/>
    </row>
    <row r="8" spans="1:28" ht="85.5">
      <c r="A8" s="28" t="s">
        <v>20</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147</v>
      </c>
      <c r="L8" s="20"/>
      <c r="M8" s="18"/>
      <c r="N8" s="18"/>
      <c r="O8" s="4"/>
      <c r="P8" s="4"/>
      <c r="Q8" s="4"/>
      <c r="R8" s="4"/>
      <c r="S8" s="4"/>
      <c r="T8" s="4"/>
      <c r="U8" s="4"/>
      <c r="V8" s="4"/>
      <c r="W8" s="4"/>
      <c r="X8" s="4"/>
      <c r="Y8" s="4"/>
      <c r="Z8" s="4"/>
      <c r="AA8" s="4"/>
      <c r="AB8" s="4"/>
    </row>
    <row r="9" spans="1:28" ht="409.5">
      <c r="A9" s="28" t="s">
        <v>22</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216</v>
      </c>
      <c r="L9" s="20"/>
      <c r="M9" s="18"/>
      <c r="N9" s="18"/>
      <c r="O9" s="4"/>
      <c r="P9" s="4"/>
      <c r="Q9" s="4"/>
      <c r="R9" s="4"/>
      <c r="S9" s="4"/>
      <c r="T9" s="4"/>
      <c r="U9" s="4"/>
      <c r="V9" s="4"/>
      <c r="W9" s="4"/>
      <c r="X9" s="4"/>
      <c r="Y9" s="4"/>
      <c r="Z9" s="4"/>
      <c r="AA9" s="4"/>
      <c r="AB9" s="4"/>
    </row>
    <row r="10" spans="1:28" ht="71.25">
      <c r="A10" s="22" t="s">
        <v>24</v>
      </c>
      <c r="B10" s="23">
        <v>0</v>
      </c>
      <c r="C10" s="23">
        <v>2050000000</v>
      </c>
      <c r="D10" s="24">
        <f t="shared" si="0"/>
        <v>2050000000</v>
      </c>
      <c r="E10" s="23">
        <v>0</v>
      </c>
      <c r="F10" s="23">
        <v>2050000000</v>
      </c>
      <c r="G10" s="24">
        <f t="shared" si="3"/>
        <v>2050000000</v>
      </c>
      <c r="H10" s="23">
        <v>0</v>
      </c>
      <c r="I10" s="23">
        <v>3094685967</v>
      </c>
      <c r="J10" s="24">
        <f t="shared" si="4"/>
        <v>3094685967</v>
      </c>
      <c r="K10" s="38" t="s">
        <v>149</v>
      </c>
      <c r="L10" s="20" t="s">
        <v>217</v>
      </c>
      <c r="M10" s="18"/>
      <c r="N10" s="18"/>
      <c r="O10" s="4"/>
      <c r="P10" s="4"/>
      <c r="Q10" s="4"/>
      <c r="R10" s="4"/>
      <c r="S10" s="4"/>
      <c r="T10" s="4"/>
      <c r="U10" s="4"/>
      <c r="V10" s="4"/>
      <c r="W10" s="4"/>
      <c r="X10" s="4"/>
      <c r="Y10" s="4"/>
      <c r="Z10" s="4"/>
      <c r="AA10" s="4"/>
      <c r="AB10" s="4"/>
    </row>
    <row r="11" spans="1:28" ht="143.25" customHeight="1">
      <c r="A11" s="22" t="s">
        <v>26</v>
      </c>
      <c r="B11" s="23">
        <v>0</v>
      </c>
      <c r="C11" s="23">
        <v>4950000000</v>
      </c>
      <c r="D11" s="24">
        <f t="shared" si="0"/>
        <v>4950000000</v>
      </c>
      <c r="E11" s="23">
        <v>0</v>
      </c>
      <c r="F11" s="23">
        <v>4950000000</v>
      </c>
      <c r="G11" s="24">
        <f t="shared" si="3"/>
        <v>4950000000</v>
      </c>
      <c r="H11" s="23">
        <v>0</v>
      </c>
      <c r="I11" s="23">
        <f>4262684484.42+(4*522082373.71)</f>
        <v>6351013979.2600002</v>
      </c>
      <c r="J11" s="24">
        <f t="shared" si="4"/>
        <v>6351013979.2600002</v>
      </c>
      <c r="K11" s="38" t="s">
        <v>151</v>
      </c>
      <c r="L11" s="20" t="s">
        <v>217</v>
      </c>
      <c r="M11" s="18"/>
      <c r="N11" s="18"/>
      <c r="O11" s="4"/>
      <c r="P11" s="4"/>
      <c r="Q11" s="4"/>
      <c r="R11" s="4"/>
      <c r="S11" s="4"/>
      <c r="T11" s="4"/>
      <c r="U11" s="4"/>
      <c r="V11" s="4"/>
      <c r="W11" s="4"/>
      <c r="X11" s="4"/>
      <c r="Y11" s="4"/>
      <c r="Z11" s="4"/>
      <c r="AA11" s="4"/>
      <c r="AB11" s="4"/>
    </row>
    <row r="12" spans="1:28" ht="71.25">
      <c r="A12" s="22" t="s">
        <v>28</v>
      </c>
      <c r="B12" s="23">
        <v>0</v>
      </c>
      <c r="C12" s="23">
        <v>3650000000</v>
      </c>
      <c r="D12" s="24">
        <f t="shared" si="0"/>
        <v>3650000000</v>
      </c>
      <c r="E12" s="23">
        <v>0</v>
      </c>
      <c r="F12" s="23">
        <v>3650000000</v>
      </c>
      <c r="G12" s="24">
        <f t="shared" si="3"/>
        <v>3650000000</v>
      </c>
      <c r="H12" s="23">
        <v>0</v>
      </c>
      <c r="I12" s="23">
        <v>4643559240.5799999</v>
      </c>
      <c r="J12" s="24">
        <f t="shared" si="4"/>
        <v>4643559240.5799999</v>
      </c>
      <c r="K12" s="38" t="s">
        <v>152</v>
      </c>
      <c r="L12" s="20" t="s">
        <v>217</v>
      </c>
      <c r="M12" s="18"/>
      <c r="N12" s="18"/>
      <c r="O12" s="4"/>
      <c r="P12" s="4"/>
      <c r="Q12" s="4"/>
      <c r="R12" s="4"/>
      <c r="S12" s="4"/>
      <c r="T12" s="4"/>
      <c r="U12" s="4"/>
      <c r="V12" s="4"/>
      <c r="W12" s="4"/>
      <c r="X12" s="4"/>
      <c r="Y12" s="4"/>
      <c r="Z12" s="4"/>
      <c r="AA12" s="4"/>
      <c r="AB12" s="4"/>
    </row>
    <row r="13" spans="1:28" ht="42.75">
      <c r="A13" s="22" t="s">
        <v>29</v>
      </c>
      <c r="B13" s="24">
        <v>135000000</v>
      </c>
      <c r="C13" s="23">
        <v>0</v>
      </c>
      <c r="D13" s="24">
        <f t="shared" si="0"/>
        <v>135000000</v>
      </c>
      <c r="E13" s="23">
        <v>135000000</v>
      </c>
      <c r="F13" s="23">
        <v>0</v>
      </c>
      <c r="G13" s="24">
        <f t="shared" si="3"/>
        <v>135000000</v>
      </c>
      <c r="H13" s="23">
        <v>172020350.77000001</v>
      </c>
      <c r="I13" s="23">
        <v>0</v>
      </c>
      <c r="J13" s="24">
        <f t="shared" si="4"/>
        <v>172020350.77000001</v>
      </c>
      <c r="K13" s="38" t="s">
        <v>129</v>
      </c>
      <c r="L13" s="20"/>
      <c r="M13" s="18"/>
      <c r="N13" s="18"/>
      <c r="O13" s="4"/>
      <c r="P13" s="4"/>
      <c r="Q13" s="4"/>
      <c r="R13" s="4"/>
      <c r="S13" s="4"/>
      <c r="T13" s="4"/>
      <c r="U13" s="4"/>
      <c r="V13" s="4"/>
      <c r="W13" s="4"/>
      <c r="X13" s="4"/>
      <c r="Y13" s="4"/>
      <c r="Z13" s="4"/>
      <c r="AA13" s="4"/>
      <c r="AB13" s="4"/>
    </row>
    <row r="14" spans="1:28" ht="71.25">
      <c r="A14" s="22" t="s">
        <v>31</v>
      </c>
      <c r="B14" s="23">
        <v>0</v>
      </c>
      <c r="C14" s="23">
        <v>310000000</v>
      </c>
      <c r="D14" s="24">
        <f t="shared" si="0"/>
        <v>310000000</v>
      </c>
      <c r="E14" s="23">
        <v>0</v>
      </c>
      <c r="F14" s="23">
        <v>310000000</v>
      </c>
      <c r="G14" s="24">
        <f t="shared" si="3"/>
        <v>310000000</v>
      </c>
      <c r="H14" s="23">
        <v>0</v>
      </c>
      <c r="I14" s="23">
        <v>461393586.06999999</v>
      </c>
      <c r="J14" s="24">
        <f t="shared" si="4"/>
        <v>461393586.06999999</v>
      </c>
      <c r="K14" s="38" t="s">
        <v>152</v>
      </c>
      <c r="L14" s="20" t="s">
        <v>217</v>
      </c>
      <c r="M14" s="18"/>
      <c r="N14" s="18"/>
      <c r="O14" s="4"/>
      <c r="P14" s="4"/>
      <c r="Q14" s="4"/>
      <c r="R14" s="4"/>
      <c r="S14" s="4"/>
      <c r="T14" s="4"/>
      <c r="U14" s="4"/>
      <c r="V14" s="4"/>
      <c r="W14" s="4"/>
      <c r="X14" s="4"/>
      <c r="Y14" s="4"/>
      <c r="Z14" s="4"/>
      <c r="AA14" s="4"/>
      <c r="AB14" s="4"/>
    </row>
    <row r="15" spans="1:28" ht="14.25">
      <c r="A15" s="28" t="s">
        <v>35</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218</v>
      </c>
      <c r="L15" s="20"/>
      <c r="M15" s="18"/>
      <c r="N15" s="18"/>
      <c r="O15" s="4"/>
      <c r="P15" s="4"/>
      <c r="Q15" s="4"/>
      <c r="R15" s="4"/>
      <c r="S15" s="4"/>
      <c r="T15" s="4"/>
      <c r="U15" s="4"/>
      <c r="V15" s="4"/>
      <c r="W15" s="4"/>
      <c r="X15" s="4"/>
      <c r="Y15" s="4"/>
      <c r="Z15" s="4"/>
      <c r="AA15" s="4"/>
      <c r="AB15" s="4"/>
    </row>
    <row r="16" spans="1:28" ht="42.75">
      <c r="A16" s="22" t="s">
        <v>37</v>
      </c>
      <c r="B16" s="24">
        <f>71040828+96619306</f>
        <v>167660134</v>
      </c>
      <c r="C16" s="23">
        <v>0</v>
      </c>
      <c r="D16" s="24">
        <f t="shared" si="0"/>
        <v>167660134</v>
      </c>
      <c r="E16" s="24">
        <f>71040828+96619306</f>
        <v>167660134</v>
      </c>
      <c r="F16" s="23">
        <v>0</v>
      </c>
      <c r="G16" s="24">
        <f t="shared" si="3"/>
        <v>167660134</v>
      </c>
      <c r="H16" s="24">
        <f>90521986.3124519+123114717.852818</f>
        <v>213636704.16526991</v>
      </c>
      <c r="I16" s="23"/>
      <c r="J16" s="24">
        <f t="shared" si="4"/>
        <v>213636704.16526991</v>
      </c>
      <c r="K16" s="38" t="s">
        <v>129</v>
      </c>
      <c r="L16" s="20"/>
      <c r="M16" s="18"/>
      <c r="N16" s="18"/>
      <c r="O16" s="4"/>
      <c r="P16" s="4"/>
      <c r="Q16" s="4"/>
      <c r="R16" s="4"/>
      <c r="S16" s="4"/>
      <c r="T16" s="4"/>
      <c r="U16" s="4"/>
      <c r="V16" s="4"/>
      <c r="W16" s="4"/>
      <c r="X16" s="4"/>
      <c r="Y16" s="4"/>
      <c r="Z16" s="4"/>
      <c r="AA16" s="4"/>
      <c r="AB16" s="4"/>
    </row>
    <row r="17" spans="1:28" ht="15.75" customHeight="1">
      <c r="A17" s="44" t="s">
        <v>38</v>
      </c>
      <c r="B17" s="45">
        <f t="shared" ref="B17:E17" si="5">SUM(B4:B16)</f>
        <v>11327660134</v>
      </c>
      <c r="C17" s="45">
        <f t="shared" si="5"/>
        <v>18585000000</v>
      </c>
      <c r="D17" s="45">
        <f t="shared" si="5"/>
        <v>29912660134</v>
      </c>
      <c r="E17" s="45">
        <f t="shared" si="5"/>
        <v>7265117812.2299995</v>
      </c>
      <c r="F17" s="45">
        <f>SUM(F4:F16)+1797281123.78+853260124.99</f>
        <v>22527542321.77</v>
      </c>
      <c r="G17" s="45">
        <f t="shared" ref="G17:H17" si="6">SUM(G4:G16)</f>
        <v>29912660134</v>
      </c>
      <c r="H17" s="45">
        <f t="shared" si="6"/>
        <v>8377017336.52878</v>
      </c>
      <c r="I17" s="45">
        <f>SUM(I4:I16)+1931289658.76+1027440268.99</f>
        <v>28413968809.459999</v>
      </c>
      <c r="J17" s="45">
        <f>SUM(J4:J16)</f>
        <v>36670794145.98201</v>
      </c>
      <c r="K17" s="46"/>
      <c r="L17" s="20"/>
      <c r="M17" s="48"/>
      <c r="N17" s="71"/>
      <c r="O17" s="50"/>
      <c r="P17" s="50"/>
      <c r="Q17" s="50"/>
      <c r="R17" s="50"/>
      <c r="S17" s="50"/>
      <c r="T17" s="50"/>
      <c r="U17" s="50"/>
      <c r="V17" s="50"/>
      <c r="W17" s="50"/>
      <c r="X17" s="50"/>
      <c r="Y17" s="50"/>
      <c r="Z17" s="50"/>
      <c r="AA17" s="50"/>
      <c r="AB17" s="50"/>
    </row>
    <row r="18" spans="1:28" ht="14.25">
      <c r="A18" s="22" t="s">
        <v>39</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41</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42</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43</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154</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45</v>
      </c>
      <c r="B23" s="73">
        <f t="shared" ref="B23:J23" si="11">B17+B22</f>
        <v>17494715379</v>
      </c>
      <c r="C23" s="73">
        <f t="shared" si="11"/>
        <v>20195051950</v>
      </c>
      <c r="D23" s="73">
        <f t="shared" si="11"/>
        <v>37689767329</v>
      </c>
      <c r="E23" s="73">
        <f t="shared" si="11"/>
        <v>13432173057.23</v>
      </c>
      <c r="F23" s="73">
        <f t="shared" si="11"/>
        <v>24137594271.77</v>
      </c>
      <c r="G23" s="73">
        <f t="shared" si="11"/>
        <v>37689767329</v>
      </c>
      <c r="H23" s="73">
        <f t="shared" si="11"/>
        <v>14544072581.52878</v>
      </c>
      <c r="I23" s="73">
        <f t="shared" si="11"/>
        <v>30024020759.459999</v>
      </c>
      <c r="J23" s="73">
        <f t="shared" si="11"/>
        <v>44447901340.98201</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300925</vt: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Gustavo Henrique Moreira dos Reis</cp:lastModifiedBy>
  <dcterms:created xsi:type="dcterms:W3CDTF">2024-04-10T14:12:07Z</dcterms:created>
  <dcterms:modified xsi:type="dcterms:W3CDTF">2025-10-01T18:37:34Z</dcterms:modified>
</cp:coreProperties>
</file>