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x11950341\Downloads\"/>
    </mc:Choice>
  </mc:AlternateContent>
  <bookViews>
    <workbookView xWindow="0" yWindow="0" windowWidth="28800" windowHeight="11610"/>
  </bookViews>
  <sheets>
    <sheet name="310525" sheetId="1" r:id="rId1"/>
    <sheet name="300425" sheetId="2" state="hidden" r:id="rId2"/>
    <sheet name="310325" sheetId="3" state="hidden" r:id="rId3"/>
    <sheet name="280225" sheetId="4" state="hidden" r:id="rId4"/>
    <sheet name="310125" sheetId="5" state="hidden" r:id="rId5"/>
    <sheet name="311224" sheetId="6" state="hidden" r:id="rId6"/>
    <sheet name="301124" sheetId="7" state="hidden" r:id="rId7"/>
    <sheet name="311024" sheetId="8" state="hidden" r:id="rId8"/>
    <sheet name="300924" sheetId="9" state="hidden" r:id="rId9"/>
    <sheet name="310824" sheetId="10" state="hidden" r:id="rId10"/>
    <sheet name="310724" sheetId="11" state="hidden" r:id="rId11"/>
    <sheet name="300624" sheetId="12" state="hidden" r:id="rId12"/>
    <sheet name="310524" sheetId="13" state="hidden" r:id="rId13"/>
    <sheet name="310324" sheetId="14" state="hidden" r:id="rId14"/>
    <sheet name="continhas" sheetId="15" state="hidden" r:id="rId15"/>
  </sheets>
  <calcPr calcId="162913"/>
  <extLst>
    <ext uri="GoogleSheetsCustomDataVersion2">
      <go:sheetsCustomData xmlns:go="http://customooxmlschemas.google.com/" r:id="rId19" roundtripDataChecksum="itYEwp3z4INK/b2W2gTA4xrdzfOwPak4GaUjC5duVFY="/>
    </ext>
  </extLst>
</workbook>
</file>

<file path=xl/calcChain.xml><?xml version="1.0" encoding="utf-8"?>
<calcChain xmlns="http://schemas.openxmlformats.org/spreadsheetml/2006/main">
  <c r="A3" i="15" l="1"/>
  <c r="A5" i="15" s="1"/>
  <c r="F23" i="14"/>
  <c r="C23" i="14"/>
  <c r="J22" i="14"/>
  <c r="I22" i="14"/>
  <c r="H22" i="14"/>
  <c r="F22" i="14"/>
  <c r="E22" i="14"/>
  <c r="C22" i="14"/>
  <c r="B22" i="14"/>
  <c r="J21" i="14"/>
  <c r="G21" i="14"/>
  <c r="D21" i="14"/>
  <c r="J20" i="14"/>
  <c r="G20" i="14"/>
  <c r="D20" i="14"/>
  <c r="J19" i="14"/>
  <c r="G19" i="14"/>
  <c r="D19" i="14"/>
  <c r="D22" i="14" s="1"/>
  <c r="J18" i="14"/>
  <c r="G18" i="14"/>
  <c r="G22" i="14" s="1"/>
  <c r="D18" i="14"/>
  <c r="H17" i="14"/>
  <c r="H23" i="14" s="1"/>
  <c r="F17" i="14"/>
  <c r="C17" i="14"/>
  <c r="I16" i="14"/>
  <c r="J16" i="14" s="1"/>
  <c r="E16" i="14"/>
  <c r="B16" i="14"/>
  <c r="J15" i="14"/>
  <c r="G15" i="14"/>
  <c r="D15" i="14"/>
  <c r="J14" i="14"/>
  <c r="G14" i="14"/>
  <c r="D14" i="14"/>
  <c r="J13" i="14"/>
  <c r="G13" i="14"/>
  <c r="D13" i="14"/>
  <c r="J12" i="14"/>
  <c r="G12" i="14"/>
  <c r="D12" i="14"/>
  <c r="J11" i="14"/>
  <c r="G11" i="14"/>
  <c r="D11" i="14"/>
  <c r="J10" i="14"/>
  <c r="G10" i="14"/>
  <c r="D10" i="14"/>
  <c r="J9" i="14"/>
  <c r="G9" i="14"/>
  <c r="D9" i="14"/>
  <c r="J8" i="14"/>
  <c r="G8" i="14"/>
  <c r="D8" i="14"/>
  <c r="D7" i="14"/>
  <c r="D6" i="14"/>
  <c r="I5" i="14"/>
  <c r="J5" i="14" s="1"/>
  <c r="G5" i="14"/>
  <c r="D5" i="14"/>
  <c r="I4" i="14"/>
  <c r="I17" i="14" s="1"/>
  <c r="I23" i="14" s="1"/>
  <c r="D4" i="14"/>
  <c r="C23" i="13"/>
  <c r="I22" i="13"/>
  <c r="H22" i="13"/>
  <c r="F22" i="13"/>
  <c r="F23" i="13" s="1"/>
  <c r="E22" i="13"/>
  <c r="C22" i="13"/>
  <c r="B22" i="13"/>
  <c r="J21" i="13"/>
  <c r="G21" i="13"/>
  <c r="D21" i="13"/>
  <c r="J20" i="13"/>
  <c r="G20" i="13"/>
  <c r="D20" i="13"/>
  <c r="J19" i="13"/>
  <c r="G19" i="13"/>
  <c r="D19" i="13"/>
  <c r="J18" i="13"/>
  <c r="J22" i="13" s="1"/>
  <c r="G18" i="13"/>
  <c r="G22" i="13" s="1"/>
  <c r="D18" i="13"/>
  <c r="D22" i="13" s="1"/>
  <c r="I17" i="13"/>
  <c r="I23" i="13" s="1"/>
  <c r="F17" i="13"/>
  <c r="E17" i="13"/>
  <c r="E23" i="13" s="1"/>
  <c r="C17" i="13"/>
  <c r="H16" i="13"/>
  <c r="J16" i="13" s="1"/>
  <c r="E16" i="13"/>
  <c r="G16" i="13" s="1"/>
  <c r="B16" i="13"/>
  <c r="B17" i="13" s="1"/>
  <c r="B23" i="13" s="1"/>
  <c r="J15" i="13"/>
  <c r="G15" i="13"/>
  <c r="D15" i="13"/>
  <c r="J14" i="13"/>
  <c r="G14" i="13"/>
  <c r="D14" i="13"/>
  <c r="J13" i="13"/>
  <c r="G13" i="13"/>
  <c r="D13" i="13"/>
  <c r="J12" i="13"/>
  <c r="G12" i="13"/>
  <c r="D12" i="13"/>
  <c r="J11" i="13"/>
  <c r="G11" i="13"/>
  <c r="D11" i="13"/>
  <c r="J10" i="13"/>
  <c r="G10" i="13"/>
  <c r="D10" i="13"/>
  <c r="J9" i="13"/>
  <c r="G9" i="13"/>
  <c r="D9" i="13"/>
  <c r="J8" i="13"/>
  <c r="G8" i="13"/>
  <c r="D8" i="13"/>
  <c r="D7" i="13"/>
  <c r="E6" i="13"/>
  <c r="D6" i="13"/>
  <c r="J5" i="13"/>
  <c r="I5" i="13"/>
  <c r="G5" i="13"/>
  <c r="D5" i="13"/>
  <c r="I4" i="13"/>
  <c r="J4" i="13" s="1"/>
  <c r="G4" i="13"/>
  <c r="D4" i="13"/>
  <c r="C23" i="12"/>
  <c r="I22" i="12"/>
  <c r="H22" i="12"/>
  <c r="F22" i="12"/>
  <c r="F23" i="12" s="1"/>
  <c r="E22" i="12"/>
  <c r="D22" i="12"/>
  <c r="C22" i="12"/>
  <c r="B22" i="12"/>
  <c r="J21" i="12"/>
  <c r="G21" i="12"/>
  <c r="D21" i="12"/>
  <c r="J20" i="12"/>
  <c r="G20" i="12"/>
  <c r="D20" i="12"/>
  <c r="J19" i="12"/>
  <c r="G19" i="12"/>
  <c r="D19" i="12"/>
  <c r="J18" i="12"/>
  <c r="J22" i="12" s="1"/>
  <c r="G18" i="12"/>
  <c r="G22" i="12" s="1"/>
  <c r="D18" i="12"/>
  <c r="I17" i="12"/>
  <c r="I23" i="12" s="1"/>
  <c r="F17" i="12"/>
  <c r="E17" i="12"/>
  <c r="E23" i="12" s="1"/>
  <c r="C17" i="12"/>
  <c r="H16" i="12"/>
  <c r="J16" i="12" s="1"/>
  <c r="E16" i="12"/>
  <c r="G16" i="12" s="1"/>
  <c r="B16" i="12"/>
  <c r="B17" i="12" s="1"/>
  <c r="B23" i="12" s="1"/>
  <c r="J15" i="12"/>
  <c r="G15" i="12"/>
  <c r="D15" i="12"/>
  <c r="J14" i="12"/>
  <c r="G14" i="12"/>
  <c r="D14" i="12"/>
  <c r="J13" i="12"/>
  <c r="G13" i="12"/>
  <c r="D13" i="12"/>
  <c r="J12" i="12"/>
  <c r="G12" i="12"/>
  <c r="D12" i="12"/>
  <c r="I11" i="12"/>
  <c r="J11" i="12" s="1"/>
  <c r="G11" i="12"/>
  <c r="D11" i="12"/>
  <c r="J10" i="12"/>
  <c r="G10" i="12"/>
  <c r="D10" i="12"/>
  <c r="J9" i="12"/>
  <c r="E9" i="12"/>
  <c r="G9" i="12" s="1"/>
  <c r="D9" i="12"/>
  <c r="J8" i="12"/>
  <c r="G8" i="12"/>
  <c r="D8" i="12"/>
  <c r="D7" i="12"/>
  <c r="D6" i="12"/>
  <c r="I5" i="12"/>
  <c r="J5" i="12" s="1"/>
  <c r="G5" i="12"/>
  <c r="D5" i="12"/>
  <c r="J4" i="12"/>
  <c r="I4" i="12"/>
  <c r="G4" i="12"/>
  <c r="D4" i="12"/>
  <c r="I22" i="11"/>
  <c r="H22" i="11"/>
  <c r="F22" i="11"/>
  <c r="E22" i="11"/>
  <c r="C22" i="11"/>
  <c r="B22" i="11"/>
  <c r="J21" i="11"/>
  <c r="G21" i="11"/>
  <c r="D21" i="11"/>
  <c r="J20" i="11"/>
  <c r="G20" i="11"/>
  <c r="D20" i="11"/>
  <c r="J19" i="11"/>
  <c r="G19" i="11"/>
  <c r="D19" i="11"/>
  <c r="J18" i="11"/>
  <c r="J22" i="11" s="1"/>
  <c r="G18" i="11"/>
  <c r="G22" i="11" s="1"/>
  <c r="D18" i="11"/>
  <c r="D22" i="11" s="1"/>
  <c r="F17" i="11"/>
  <c r="F23" i="11" s="1"/>
  <c r="C17" i="11"/>
  <c r="C23" i="11" s="1"/>
  <c r="H16" i="11"/>
  <c r="H17" i="11" s="1"/>
  <c r="H23" i="11" s="1"/>
  <c r="E16" i="11"/>
  <c r="G16" i="11" s="1"/>
  <c r="B16" i="11"/>
  <c r="J15" i="11"/>
  <c r="G15" i="11"/>
  <c r="D15" i="11"/>
  <c r="J14" i="11"/>
  <c r="G14" i="11"/>
  <c r="D14" i="11"/>
  <c r="J13" i="11"/>
  <c r="G13" i="11"/>
  <c r="D13" i="11"/>
  <c r="J12" i="11"/>
  <c r="G12" i="11"/>
  <c r="D12" i="11"/>
  <c r="I11" i="11"/>
  <c r="J11" i="11" s="1"/>
  <c r="G11" i="11"/>
  <c r="D11" i="11"/>
  <c r="J10" i="11"/>
  <c r="G10" i="11"/>
  <c r="D10" i="11"/>
  <c r="I9" i="11"/>
  <c r="J9" i="11" s="1"/>
  <c r="E9" i="11"/>
  <c r="G9" i="11" s="1"/>
  <c r="D9" i="11"/>
  <c r="J8" i="11"/>
  <c r="G8" i="11"/>
  <c r="D8" i="11"/>
  <c r="D7" i="11"/>
  <c r="D6" i="11"/>
  <c r="I5" i="11"/>
  <c r="J5" i="11" s="1"/>
  <c r="G5" i="11"/>
  <c r="D5" i="11"/>
  <c r="I4" i="11"/>
  <c r="J4" i="11" s="1"/>
  <c r="G4" i="11"/>
  <c r="D4" i="11"/>
  <c r="C23" i="10"/>
  <c r="B23" i="10"/>
  <c r="I22" i="10"/>
  <c r="H22" i="10"/>
  <c r="F22" i="10"/>
  <c r="E22" i="10"/>
  <c r="C22" i="10"/>
  <c r="B22" i="10"/>
  <c r="J21" i="10"/>
  <c r="G21" i="10"/>
  <c r="D21" i="10"/>
  <c r="J20" i="10"/>
  <c r="G20" i="10"/>
  <c r="D20" i="10"/>
  <c r="J19" i="10"/>
  <c r="J22" i="10" s="1"/>
  <c r="G19" i="10"/>
  <c r="D19" i="10"/>
  <c r="D22" i="10" s="1"/>
  <c r="J18" i="10"/>
  <c r="G18" i="10"/>
  <c r="D18" i="10"/>
  <c r="F17" i="10"/>
  <c r="F23" i="10" s="1"/>
  <c r="C17" i="10"/>
  <c r="B17" i="10"/>
  <c r="H16" i="10"/>
  <c r="E16" i="10"/>
  <c r="E17" i="10" s="1"/>
  <c r="E23" i="10" s="1"/>
  <c r="B16" i="10"/>
  <c r="D16" i="10" s="1"/>
  <c r="J15" i="10"/>
  <c r="G15" i="10"/>
  <c r="D15" i="10"/>
  <c r="J14" i="10"/>
  <c r="G14" i="10"/>
  <c r="D14" i="10"/>
  <c r="J13" i="10"/>
  <c r="G13" i="10"/>
  <c r="D13" i="10"/>
  <c r="J12" i="10"/>
  <c r="G12" i="10"/>
  <c r="D12" i="10"/>
  <c r="I11" i="10"/>
  <c r="J11" i="10" s="1"/>
  <c r="G11" i="10"/>
  <c r="D11" i="10"/>
  <c r="J10" i="10"/>
  <c r="G10" i="10"/>
  <c r="D10" i="10"/>
  <c r="I9" i="10"/>
  <c r="J9" i="10" s="1"/>
  <c r="E9" i="10"/>
  <c r="G9" i="10" s="1"/>
  <c r="D9" i="10"/>
  <c r="J8" i="10"/>
  <c r="G8" i="10"/>
  <c r="D8" i="10"/>
  <c r="D7" i="10"/>
  <c r="D6" i="10"/>
  <c r="J5" i="10"/>
  <c r="I5" i="10"/>
  <c r="G5" i="10"/>
  <c r="D5" i="10"/>
  <c r="I4" i="10"/>
  <c r="I17" i="10" s="1"/>
  <c r="I23" i="10" s="1"/>
  <c r="G4" i="10"/>
  <c r="D4" i="10"/>
  <c r="D17" i="10" s="1"/>
  <c r="C23" i="9"/>
  <c r="B23" i="9"/>
  <c r="I22" i="9"/>
  <c r="H22" i="9"/>
  <c r="F22" i="9"/>
  <c r="F23" i="9" s="1"/>
  <c r="E22" i="9"/>
  <c r="C22" i="9"/>
  <c r="B22" i="9"/>
  <c r="J21" i="9"/>
  <c r="G21" i="9"/>
  <c r="D21" i="9"/>
  <c r="J20" i="9"/>
  <c r="G20" i="9"/>
  <c r="D20" i="9"/>
  <c r="J19" i="9"/>
  <c r="G19" i="9"/>
  <c r="D19" i="9"/>
  <c r="J18" i="9"/>
  <c r="J22" i="9" s="1"/>
  <c r="G18" i="9"/>
  <c r="G22" i="9" s="1"/>
  <c r="D18" i="9"/>
  <c r="F17" i="9"/>
  <c r="C17" i="9"/>
  <c r="B17" i="9"/>
  <c r="H16" i="9"/>
  <c r="H17" i="9" s="1"/>
  <c r="H23" i="9" s="1"/>
  <c r="E16" i="9"/>
  <c r="G16" i="9" s="1"/>
  <c r="B16" i="9"/>
  <c r="D16" i="9" s="1"/>
  <c r="J15" i="9"/>
  <c r="G15" i="9"/>
  <c r="D15" i="9"/>
  <c r="J14" i="9"/>
  <c r="G14" i="9"/>
  <c r="D14" i="9"/>
  <c r="J13" i="9"/>
  <c r="G13" i="9"/>
  <c r="D13" i="9"/>
  <c r="J12" i="9"/>
  <c r="G12" i="9"/>
  <c r="D12" i="9"/>
  <c r="I11" i="9"/>
  <c r="J11" i="9" s="1"/>
  <c r="G11" i="9"/>
  <c r="D11" i="9"/>
  <c r="J10" i="9"/>
  <c r="G10" i="9"/>
  <c r="D10" i="9"/>
  <c r="I9" i="9"/>
  <c r="J9" i="9" s="1"/>
  <c r="E9" i="9"/>
  <c r="G9" i="9" s="1"/>
  <c r="D9" i="9"/>
  <c r="J8" i="9"/>
  <c r="G8" i="9"/>
  <c r="G17" i="9" s="1"/>
  <c r="D8" i="9"/>
  <c r="D17" i="9" s="1"/>
  <c r="J7" i="9"/>
  <c r="D7" i="9"/>
  <c r="J6" i="9"/>
  <c r="D6" i="9"/>
  <c r="I5" i="9"/>
  <c r="J5" i="9" s="1"/>
  <c r="G5" i="9"/>
  <c r="D5" i="9"/>
  <c r="I4" i="9"/>
  <c r="I17" i="9" s="1"/>
  <c r="I23" i="9" s="1"/>
  <c r="G4" i="9"/>
  <c r="D4" i="9"/>
  <c r="H23" i="8"/>
  <c r="F23" i="8"/>
  <c r="I22" i="8"/>
  <c r="H22" i="8"/>
  <c r="F22" i="8"/>
  <c r="E22" i="8"/>
  <c r="C22" i="8"/>
  <c r="C23" i="8" s="1"/>
  <c r="B22" i="8"/>
  <c r="J21" i="8"/>
  <c r="J22" i="8" s="1"/>
  <c r="G21" i="8"/>
  <c r="D21" i="8"/>
  <c r="J20" i="8"/>
  <c r="G20" i="8"/>
  <c r="D20" i="8"/>
  <c r="J19" i="8"/>
  <c r="G19" i="8"/>
  <c r="D19" i="8"/>
  <c r="J18" i="8"/>
  <c r="G18" i="8"/>
  <c r="G22" i="8" s="1"/>
  <c r="D18" i="8"/>
  <c r="D22" i="8" s="1"/>
  <c r="H17" i="8"/>
  <c r="F17" i="8"/>
  <c r="C17" i="8"/>
  <c r="H16" i="8"/>
  <c r="J16" i="8" s="1"/>
  <c r="G16" i="8"/>
  <c r="E16" i="8"/>
  <c r="B16" i="8"/>
  <c r="B17" i="8" s="1"/>
  <c r="B23" i="8" s="1"/>
  <c r="J15" i="8"/>
  <c r="G15" i="8"/>
  <c r="D15" i="8"/>
  <c r="J14" i="8"/>
  <c r="G14" i="8"/>
  <c r="D14" i="8"/>
  <c r="J13" i="8"/>
  <c r="G13" i="8"/>
  <c r="D13" i="8"/>
  <c r="J12" i="8"/>
  <c r="G12" i="8"/>
  <c r="D12" i="8"/>
  <c r="J11" i="8"/>
  <c r="I11" i="8"/>
  <c r="G11" i="8"/>
  <c r="D11" i="8"/>
  <c r="J10" i="8"/>
  <c r="G10" i="8"/>
  <c r="D10" i="8"/>
  <c r="I9" i="8"/>
  <c r="J9" i="8" s="1"/>
  <c r="E9" i="8"/>
  <c r="E17" i="8" s="1"/>
  <c r="E23" i="8" s="1"/>
  <c r="D9" i="8"/>
  <c r="J8" i="8"/>
  <c r="G8" i="8"/>
  <c r="D8" i="8"/>
  <c r="J7" i="8"/>
  <c r="D7" i="8"/>
  <c r="J6" i="8"/>
  <c r="D6" i="8"/>
  <c r="I5" i="8"/>
  <c r="J5" i="8" s="1"/>
  <c r="G5" i="8"/>
  <c r="D5" i="8"/>
  <c r="I4" i="8"/>
  <c r="I17" i="8" s="1"/>
  <c r="I23" i="8" s="1"/>
  <c r="G4" i="8"/>
  <c r="D4" i="8"/>
  <c r="I22" i="7"/>
  <c r="H22" i="7"/>
  <c r="F22" i="7"/>
  <c r="F23" i="7" s="1"/>
  <c r="E22" i="7"/>
  <c r="D22" i="7"/>
  <c r="C22" i="7"/>
  <c r="B22" i="7"/>
  <c r="J21" i="7"/>
  <c r="G21" i="7"/>
  <c r="D21" i="7"/>
  <c r="J20" i="7"/>
  <c r="J22" i="7" s="1"/>
  <c r="G20" i="7"/>
  <c r="D20" i="7"/>
  <c r="J19" i="7"/>
  <c r="G19" i="7"/>
  <c r="D19" i="7"/>
  <c r="J18" i="7"/>
  <c r="G18" i="7"/>
  <c r="G22" i="7" s="1"/>
  <c r="D18" i="7"/>
  <c r="H17" i="7"/>
  <c r="H23" i="7" s="1"/>
  <c r="F17" i="7"/>
  <c r="C17" i="7"/>
  <c r="C23" i="7" s="1"/>
  <c r="H16" i="7"/>
  <c r="J16" i="7" s="1"/>
  <c r="G16" i="7"/>
  <c r="E16" i="7"/>
  <c r="B16" i="7"/>
  <c r="B17" i="7" s="1"/>
  <c r="B23" i="7" s="1"/>
  <c r="J15" i="7"/>
  <c r="G15" i="7"/>
  <c r="D15" i="7"/>
  <c r="J14" i="7"/>
  <c r="G14" i="7"/>
  <c r="D14" i="7"/>
  <c r="J13" i="7"/>
  <c r="G13" i="7"/>
  <c r="D13" i="7"/>
  <c r="J12" i="7"/>
  <c r="G12" i="7"/>
  <c r="D12" i="7"/>
  <c r="J11" i="7"/>
  <c r="I11" i="7"/>
  <c r="G11" i="7"/>
  <c r="D11" i="7"/>
  <c r="J10" i="7"/>
  <c r="G10" i="7"/>
  <c r="D10" i="7"/>
  <c r="J9" i="7"/>
  <c r="I9" i="7"/>
  <c r="E9" i="7"/>
  <c r="G9" i="7" s="1"/>
  <c r="D9" i="7"/>
  <c r="J8" i="7"/>
  <c r="G8" i="7"/>
  <c r="D8" i="7"/>
  <c r="J7" i="7"/>
  <c r="D7" i="7"/>
  <c r="H6" i="7"/>
  <c r="J6" i="7" s="1"/>
  <c r="D6" i="7"/>
  <c r="I5" i="7"/>
  <c r="J5" i="7" s="1"/>
  <c r="G5" i="7"/>
  <c r="D5" i="7"/>
  <c r="I4" i="7"/>
  <c r="J4" i="7" s="1"/>
  <c r="J17" i="7" s="1"/>
  <c r="J23" i="7" s="1"/>
  <c r="G4" i="7"/>
  <c r="D4" i="7"/>
  <c r="F23" i="6"/>
  <c r="B23" i="6"/>
  <c r="J22" i="6"/>
  <c r="I22" i="6"/>
  <c r="H22" i="6"/>
  <c r="F22" i="6"/>
  <c r="E22" i="6"/>
  <c r="C22" i="6"/>
  <c r="C23" i="6" s="1"/>
  <c r="B22" i="6"/>
  <c r="J21" i="6"/>
  <c r="G21" i="6"/>
  <c r="D21" i="6"/>
  <c r="J20" i="6"/>
  <c r="G20" i="6"/>
  <c r="D20" i="6"/>
  <c r="J19" i="6"/>
  <c r="G19" i="6"/>
  <c r="D19" i="6"/>
  <c r="D22" i="6" s="1"/>
  <c r="J18" i="6"/>
  <c r="G18" i="6"/>
  <c r="D18" i="6"/>
  <c r="F17" i="6"/>
  <c r="C17" i="6"/>
  <c r="B17" i="6"/>
  <c r="H16" i="6"/>
  <c r="J16" i="6" s="1"/>
  <c r="E16" i="6"/>
  <c r="G16" i="6" s="1"/>
  <c r="D16" i="6"/>
  <c r="B16" i="6"/>
  <c r="J15" i="6"/>
  <c r="G15" i="6"/>
  <c r="D15" i="6"/>
  <c r="J14" i="6"/>
  <c r="G14" i="6"/>
  <c r="D14" i="6"/>
  <c r="J13" i="6"/>
  <c r="G13" i="6"/>
  <c r="D13" i="6"/>
  <c r="J12" i="6"/>
  <c r="G12" i="6"/>
  <c r="D12" i="6"/>
  <c r="I11" i="6"/>
  <c r="I17" i="6" s="1"/>
  <c r="I23" i="6" s="1"/>
  <c r="G11" i="6"/>
  <c r="D11" i="6"/>
  <c r="J10" i="6"/>
  <c r="G10" i="6"/>
  <c r="D10" i="6"/>
  <c r="J9" i="6"/>
  <c r="I9" i="6"/>
  <c r="E9" i="6"/>
  <c r="G9" i="6" s="1"/>
  <c r="D9" i="6"/>
  <c r="J8" i="6"/>
  <c r="G8" i="6"/>
  <c r="D8" i="6"/>
  <c r="J7" i="6"/>
  <c r="D7" i="6"/>
  <c r="H6" i="6"/>
  <c r="H17" i="6" s="1"/>
  <c r="H23" i="6" s="1"/>
  <c r="D6" i="6"/>
  <c r="I5" i="6"/>
  <c r="J5" i="6" s="1"/>
  <c r="G5" i="6"/>
  <c r="D5" i="6"/>
  <c r="I4" i="6"/>
  <c r="J4" i="6" s="1"/>
  <c r="G4" i="6"/>
  <c r="D4" i="6"/>
  <c r="D17" i="6" s="1"/>
  <c r="D23" i="6" s="1"/>
  <c r="F23" i="5"/>
  <c r="I22" i="5"/>
  <c r="H22" i="5"/>
  <c r="F22" i="5"/>
  <c r="E22" i="5"/>
  <c r="C22" i="5"/>
  <c r="B22" i="5"/>
  <c r="J21" i="5"/>
  <c r="G21" i="5"/>
  <c r="D21" i="5"/>
  <c r="D22" i="5" s="1"/>
  <c r="J20" i="5"/>
  <c r="G20" i="5"/>
  <c r="D20" i="5"/>
  <c r="J19" i="5"/>
  <c r="G19" i="5"/>
  <c r="D19" i="5"/>
  <c r="J18" i="5"/>
  <c r="G18" i="5"/>
  <c r="D18" i="5"/>
  <c r="I17" i="5"/>
  <c r="I23" i="5" s="1"/>
  <c r="F17" i="5"/>
  <c r="C17" i="5"/>
  <c r="C23" i="5" s="1"/>
  <c r="B17" i="5"/>
  <c r="B23" i="5" s="1"/>
  <c r="H16" i="5"/>
  <c r="J16" i="5" s="1"/>
  <c r="E16" i="5"/>
  <c r="G16" i="5" s="1"/>
  <c r="D16" i="5"/>
  <c r="B16" i="5"/>
  <c r="J15" i="5"/>
  <c r="G15" i="5"/>
  <c r="D15" i="5"/>
  <c r="J14" i="5"/>
  <c r="G14" i="5"/>
  <c r="D14" i="5"/>
  <c r="J13" i="5"/>
  <c r="G13" i="5"/>
  <c r="D13" i="5"/>
  <c r="J12" i="5"/>
  <c r="G12" i="5"/>
  <c r="D12" i="5"/>
  <c r="I11" i="5"/>
  <c r="J11" i="5" s="1"/>
  <c r="G11" i="5"/>
  <c r="D11" i="5"/>
  <c r="J10" i="5"/>
  <c r="G10" i="5"/>
  <c r="D10" i="5"/>
  <c r="I9" i="5"/>
  <c r="J9" i="5" s="1"/>
  <c r="E9" i="5"/>
  <c r="G9" i="5" s="1"/>
  <c r="D9" i="5"/>
  <c r="J8" i="5"/>
  <c r="G8" i="5"/>
  <c r="D8" i="5"/>
  <c r="J7" i="5"/>
  <c r="D7" i="5"/>
  <c r="H6" i="5"/>
  <c r="H17" i="5" s="1"/>
  <c r="H23" i="5" s="1"/>
  <c r="D6" i="5"/>
  <c r="I5" i="5"/>
  <c r="J5" i="5" s="1"/>
  <c r="G5" i="5"/>
  <c r="D5" i="5"/>
  <c r="I4" i="5"/>
  <c r="J4" i="5" s="1"/>
  <c r="G4" i="5"/>
  <c r="G17" i="5" s="1"/>
  <c r="D4" i="5"/>
  <c r="D17" i="5" s="1"/>
  <c r="D23" i="5" s="1"/>
  <c r="I22" i="4"/>
  <c r="H22" i="4"/>
  <c r="F22" i="4"/>
  <c r="F23" i="4" s="1"/>
  <c r="E22" i="4"/>
  <c r="D22" i="4"/>
  <c r="C22" i="4"/>
  <c r="B22" i="4"/>
  <c r="J21" i="4"/>
  <c r="G21" i="4"/>
  <c r="D21" i="4"/>
  <c r="J20" i="4"/>
  <c r="J22" i="4" s="1"/>
  <c r="G20" i="4"/>
  <c r="D20" i="4"/>
  <c r="J19" i="4"/>
  <c r="G19" i="4"/>
  <c r="D19" i="4"/>
  <c r="J18" i="4"/>
  <c r="G18" i="4"/>
  <c r="G22" i="4" s="1"/>
  <c r="D18" i="4"/>
  <c r="I17" i="4"/>
  <c r="I23" i="4" s="1"/>
  <c r="H17" i="4"/>
  <c r="H23" i="4" s="1"/>
  <c r="F17" i="4"/>
  <c r="C17" i="4"/>
  <c r="C23" i="4" s="1"/>
  <c r="B17" i="4"/>
  <c r="B23" i="4" s="1"/>
  <c r="H16" i="4"/>
  <c r="J16" i="4" s="1"/>
  <c r="E16" i="4"/>
  <c r="G16" i="4" s="1"/>
  <c r="B16" i="4"/>
  <c r="D16" i="4" s="1"/>
  <c r="J15" i="4"/>
  <c r="G15" i="4"/>
  <c r="D15" i="4"/>
  <c r="J14" i="4"/>
  <c r="G14" i="4"/>
  <c r="D14" i="4"/>
  <c r="J13" i="4"/>
  <c r="G13" i="4"/>
  <c r="D13" i="4"/>
  <c r="J12" i="4"/>
  <c r="G12" i="4"/>
  <c r="D12" i="4"/>
  <c r="I11" i="4"/>
  <c r="J11" i="4" s="1"/>
  <c r="G11" i="4"/>
  <c r="D11" i="4"/>
  <c r="J10" i="4"/>
  <c r="G10" i="4"/>
  <c r="D10" i="4"/>
  <c r="J9" i="4"/>
  <c r="I9" i="4"/>
  <c r="E9" i="4"/>
  <c r="E17" i="4" s="1"/>
  <c r="E23" i="4" s="1"/>
  <c r="D9" i="4"/>
  <c r="J8" i="4"/>
  <c r="G8" i="4"/>
  <c r="D8" i="4"/>
  <c r="J7" i="4"/>
  <c r="D7" i="4"/>
  <c r="J6" i="4"/>
  <c r="H6" i="4"/>
  <c r="D6" i="4"/>
  <c r="I5" i="4"/>
  <c r="J5" i="4" s="1"/>
  <c r="G5" i="4"/>
  <c r="D5" i="4"/>
  <c r="J4" i="4"/>
  <c r="I4" i="4"/>
  <c r="G4" i="4"/>
  <c r="D4" i="4"/>
  <c r="F23" i="3"/>
  <c r="I22" i="3"/>
  <c r="H22" i="3"/>
  <c r="F22" i="3"/>
  <c r="E22" i="3"/>
  <c r="C22" i="3"/>
  <c r="B22" i="3"/>
  <c r="J21" i="3"/>
  <c r="G21" i="3"/>
  <c r="D21" i="3"/>
  <c r="J20" i="3"/>
  <c r="G20" i="3"/>
  <c r="D20" i="3"/>
  <c r="J19" i="3"/>
  <c r="G19" i="3"/>
  <c r="D19" i="3"/>
  <c r="D22" i="3" s="1"/>
  <c r="J18" i="3"/>
  <c r="J22" i="3" s="1"/>
  <c r="G18" i="3"/>
  <c r="G22" i="3" s="1"/>
  <c r="D18" i="3"/>
  <c r="F17" i="3"/>
  <c r="C17" i="3"/>
  <c r="C23" i="3" s="1"/>
  <c r="H16" i="3"/>
  <c r="H17" i="3" s="1"/>
  <c r="H23" i="3" s="1"/>
  <c r="E16" i="3"/>
  <c r="G16" i="3" s="1"/>
  <c r="B16" i="3"/>
  <c r="B17" i="3" s="1"/>
  <c r="B23" i="3" s="1"/>
  <c r="J15" i="3"/>
  <c r="G15" i="3"/>
  <c r="D15" i="3"/>
  <c r="J14" i="3"/>
  <c r="G14" i="3"/>
  <c r="D14" i="3"/>
  <c r="J13" i="3"/>
  <c r="G13" i="3"/>
  <c r="D13" i="3"/>
  <c r="J12" i="3"/>
  <c r="G12" i="3"/>
  <c r="D12" i="3"/>
  <c r="I11" i="3"/>
  <c r="J11" i="3" s="1"/>
  <c r="G11" i="3"/>
  <c r="G17" i="3" s="1"/>
  <c r="G23" i="3" s="1"/>
  <c r="D11" i="3"/>
  <c r="J10" i="3"/>
  <c r="G10" i="3"/>
  <c r="D10" i="3"/>
  <c r="I9" i="3"/>
  <c r="J9" i="3" s="1"/>
  <c r="E9" i="3"/>
  <c r="G9" i="3" s="1"/>
  <c r="D9" i="3"/>
  <c r="J8" i="3"/>
  <c r="G8" i="3"/>
  <c r="D8" i="3"/>
  <c r="J7" i="3"/>
  <c r="D7" i="3"/>
  <c r="J6" i="3"/>
  <c r="D6" i="3"/>
  <c r="J5" i="3"/>
  <c r="I5" i="3"/>
  <c r="G5" i="3"/>
  <c r="D5" i="3"/>
  <c r="I4" i="3"/>
  <c r="G4" i="3"/>
  <c r="D4" i="3"/>
  <c r="I22" i="2"/>
  <c r="H22" i="2"/>
  <c r="F22" i="2"/>
  <c r="F23" i="2" s="1"/>
  <c r="E22" i="2"/>
  <c r="C22" i="2"/>
  <c r="B22" i="2"/>
  <c r="J21" i="2"/>
  <c r="G21" i="2"/>
  <c r="D21" i="2"/>
  <c r="J20" i="2"/>
  <c r="G20" i="2"/>
  <c r="D20" i="2"/>
  <c r="J19" i="2"/>
  <c r="G19" i="2"/>
  <c r="D19" i="2"/>
  <c r="J18" i="2"/>
  <c r="G18" i="2"/>
  <c r="D18" i="2"/>
  <c r="F17" i="2"/>
  <c r="C17" i="2"/>
  <c r="C23" i="2" s="1"/>
  <c r="B17" i="2"/>
  <c r="B23" i="2" s="1"/>
  <c r="H16" i="2"/>
  <c r="H17" i="2" s="1"/>
  <c r="H23" i="2" s="1"/>
  <c r="E16" i="2"/>
  <c r="G16" i="2" s="1"/>
  <c r="B16" i="2"/>
  <c r="D16" i="2" s="1"/>
  <c r="J15" i="2"/>
  <c r="G15" i="2"/>
  <c r="D15" i="2"/>
  <c r="J14" i="2"/>
  <c r="G14" i="2"/>
  <c r="D14" i="2"/>
  <c r="J13" i="2"/>
  <c r="G13" i="2"/>
  <c r="D13" i="2"/>
  <c r="J12" i="2"/>
  <c r="G12" i="2"/>
  <c r="D12" i="2"/>
  <c r="I11" i="2"/>
  <c r="J11" i="2" s="1"/>
  <c r="G11" i="2"/>
  <c r="D11" i="2"/>
  <c r="J10" i="2"/>
  <c r="G10" i="2"/>
  <c r="D10" i="2"/>
  <c r="I9" i="2"/>
  <c r="J9" i="2" s="1"/>
  <c r="E9" i="2"/>
  <c r="G9" i="2" s="1"/>
  <c r="D9" i="2"/>
  <c r="J8" i="2"/>
  <c r="G8" i="2"/>
  <c r="D8" i="2"/>
  <c r="D7" i="2"/>
  <c r="D6" i="2"/>
  <c r="I5" i="2"/>
  <c r="J5" i="2" s="1"/>
  <c r="G5" i="2"/>
  <c r="D5" i="2"/>
  <c r="I4" i="2"/>
  <c r="J4" i="2" s="1"/>
  <c r="G4" i="2"/>
  <c r="D4" i="2"/>
  <c r="I22" i="1"/>
  <c r="H22" i="1"/>
  <c r="F22" i="1"/>
  <c r="E22" i="1"/>
  <c r="C22" i="1"/>
  <c r="B22" i="1"/>
  <c r="J21" i="1"/>
  <c r="G21" i="1"/>
  <c r="D21" i="1"/>
  <c r="D22" i="1" s="1"/>
  <c r="J20" i="1"/>
  <c r="G20" i="1"/>
  <c r="D20" i="1"/>
  <c r="J19" i="1"/>
  <c r="G19" i="1"/>
  <c r="D19" i="1"/>
  <c r="J18" i="1"/>
  <c r="G18" i="1"/>
  <c r="D18" i="1"/>
  <c r="F17" i="1"/>
  <c r="F23" i="1" s="1"/>
  <c r="C17" i="1"/>
  <c r="C23" i="1" s="1"/>
  <c r="B17" i="1"/>
  <c r="B23" i="1" s="1"/>
  <c r="H16" i="1"/>
  <c r="H17" i="1" s="1"/>
  <c r="H23" i="1" s="1"/>
  <c r="E16" i="1"/>
  <c r="G16" i="1" s="1"/>
  <c r="D16" i="1"/>
  <c r="D17" i="1" s="1"/>
  <c r="D23" i="1" s="1"/>
  <c r="B16" i="1"/>
  <c r="J15" i="1"/>
  <c r="G15" i="1"/>
  <c r="D15" i="1"/>
  <c r="J14" i="1"/>
  <c r="G14" i="1"/>
  <c r="D14" i="1"/>
  <c r="J13" i="1"/>
  <c r="G13" i="1"/>
  <c r="D13" i="1"/>
  <c r="J12" i="1"/>
  <c r="G12" i="1"/>
  <c r="D12" i="1"/>
  <c r="I11" i="1"/>
  <c r="J11" i="1" s="1"/>
  <c r="G11" i="1"/>
  <c r="D11" i="1"/>
  <c r="J10" i="1"/>
  <c r="G10" i="1"/>
  <c r="D10" i="1"/>
  <c r="I9" i="1"/>
  <c r="J9" i="1" s="1"/>
  <c r="E9" i="1"/>
  <c r="G9" i="1" s="1"/>
  <c r="D9" i="1"/>
  <c r="J8" i="1"/>
  <c r="G8" i="1"/>
  <c r="D8" i="1"/>
  <c r="D7" i="1"/>
  <c r="D6" i="1"/>
  <c r="I5" i="1"/>
  <c r="J5" i="1" s="1"/>
  <c r="G5" i="1"/>
  <c r="D5" i="1"/>
  <c r="I4" i="1"/>
  <c r="J4" i="1" s="1"/>
  <c r="G4" i="1"/>
  <c r="D4" i="1"/>
  <c r="G23" i="9" l="1"/>
  <c r="B17" i="11"/>
  <c r="B23" i="11" s="1"/>
  <c r="D16" i="11"/>
  <c r="D16" i="3"/>
  <c r="G9" i="8"/>
  <c r="G17" i="8" s="1"/>
  <c r="G23" i="8" s="1"/>
  <c r="G17" i="6"/>
  <c r="J17" i="1"/>
  <c r="J23" i="1" s="1"/>
  <c r="G17" i="11"/>
  <c r="G23" i="11" s="1"/>
  <c r="G16" i="10"/>
  <c r="G17" i="10" s="1"/>
  <c r="G23" i="10" s="1"/>
  <c r="D17" i="13"/>
  <c r="D23" i="13" s="1"/>
  <c r="J6" i="6"/>
  <c r="J11" i="6"/>
  <c r="H17" i="10"/>
  <c r="H23" i="10" s="1"/>
  <c r="J16" i="10"/>
  <c r="G17" i="13"/>
  <c r="G23" i="13" s="1"/>
  <c r="J17" i="14"/>
  <c r="J23" i="14" s="1"/>
  <c r="J17" i="2"/>
  <c r="J23" i="2" s="1"/>
  <c r="D23" i="10"/>
  <c r="D17" i="3"/>
  <c r="D23" i="3" s="1"/>
  <c r="J17" i="4"/>
  <c r="J23" i="4" s="1"/>
  <c r="D17" i="11"/>
  <c r="D23" i="11" s="1"/>
  <c r="J17" i="6"/>
  <c r="J23" i="6" s="1"/>
  <c r="G17" i="7"/>
  <c r="G23" i="7" s="1"/>
  <c r="J17" i="11"/>
  <c r="J23" i="11" s="1"/>
  <c r="B17" i="14"/>
  <c r="B23" i="14" s="1"/>
  <c r="D16" i="14"/>
  <c r="D17" i="14" s="1"/>
  <c r="D23" i="14" s="1"/>
  <c r="D22" i="2"/>
  <c r="E17" i="1"/>
  <c r="E23" i="1" s="1"/>
  <c r="J16" i="9"/>
  <c r="J22" i="2"/>
  <c r="G17" i="1"/>
  <c r="G23" i="1" s="1"/>
  <c r="G22" i="5"/>
  <c r="G23" i="5" s="1"/>
  <c r="G17" i="12"/>
  <c r="G23" i="12" s="1"/>
  <c r="I17" i="3"/>
  <c r="I23" i="3" s="1"/>
  <c r="J4" i="3"/>
  <c r="J17" i="3" s="1"/>
  <c r="J23" i="3" s="1"/>
  <c r="D17" i="2"/>
  <c r="D23" i="2" s="1"/>
  <c r="D17" i="7"/>
  <c r="D23" i="7" s="1"/>
  <c r="E17" i="14"/>
  <c r="E23" i="14" s="1"/>
  <c r="G16" i="14"/>
  <c r="G17" i="14" s="1"/>
  <c r="G23" i="14" s="1"/>
  <c r="J16" i="2"/>
  <c r="J17" i="13"/>
  <c r="J23" i="13" s="1"/>
  <c r="G22" i="2"/>
  <c r="G17" i="2"/>
  <c r="G23" i="2" s="1"/>
  <c r="G22" i="1"/>
  <c r="D17" i="4"/>
  <c r="D23" i="4" s="1"/>
  <c r="J22" i="5"/>
  <c r="I17" i="7"/>
  <c r="I23" i="7" s="1"/>
  <c r="G22" i="10"/>
  <c r="J22" i="1"/>
  <c r="G22" i="6"/>
  <c r="D22" i="9"/>
  <c r="D23" i="9" s="1"/>
  <c r="J17" i="12"/>
  <c r="J23" i="12" s="1"/>
  <c r="J6" i="5"/>
  <c r="J17" i="5" s="1"/>
  <c r="J23" i="5" s="1"/>
  <c r="J4" i="10"/>
  <c r="J17" i="10" s="1"/>
  <c r="J23" i="10" s="1"/>
  <c r="E17" i="7"/>
  <c r="E23" i="7" s="1"/>
  <c r="J16" i="1"/>
  <c r="G9" i="4"/>
  <c r="G17" i="4" s="1"/>
  <c r="G23" i="4" s="1"/>
  <c r="N17" i="11"/>
  <c r="H17" i="12"/>
  <c r="H23" i="12" s="1"/>
  <c r="H17" i="13"/>
  <c r="H23" i="13" s="1"/>
  <c r="E17" i="5"/>
  <c r="E23" i="5" s="1"/>
  <c r="J4" i="8"/>
  <c r="J17" i="8" s="1"/>
  <c r="J23" i="8" s="1"/>
  <c r="D16" i="12"/>
  <c r="D17" i="12" s="1"/>
  <c r="D23" i="12" s="1"/>
  <c r="D16" i="13"/>
  <c r="E17" i="2"/>
  <c r="E23" i="2" s="1"/>
  <c r="J16" i="3"/>
  <c r="D16" i="7"/>
  <c r="E17" i="9"/>
  <c r="E23" i="9" s="1"/>
  <c r="J16" i="11"/>
  <c r="I17" i="1"/>
  <c r="I23" i="1" s="1"/>
  <c r="E17" i="6"/>
  <c r="E23" i="6" s="1"/>
  <c r="J4" i="9"/>
  <c r="I17" i="2"/>
  <c r="I23" i="2" s="1"/>
  <c r="E17" i="3"/>
  <c r="E23" i="3" s="1"/>
  <c r="D16" i="8"/>
  <c r="D17" i="8" s="1"/>
  <c r="D23" i="8" s="1"/>
  <c r="E17" i="11"/>
  <c r="E23" i="11" s="1"/>
  <c r="I17" i="11"/>
  <c r="I23" i="11" s="1"/>
  <c r="G23" i="6" l="1"/>
  <c r="O17" i="11"/>
  <c r="J17" i="9"/>
  <c r="J23" i="9" s="1"/>
</calcChain>
</file>

<file path=xl/sharedStrings.xml><?xml version="1.0" encoding="utf-8"?>
<sst xmlns="http://schemas.openxmlformats.org/spreadsheetml/2006/main" count="862" uniqueCount="187">
  <si>
    <t>Anexo do Acordo de Reparação</t>
  </si>
  <si>
    <t>Valor original do Acordo Judicial</t>
  </si>
  <si>
    <t>Valor Nominal após decisões judiciais - Até 31/05/25</t>
  </si>
  <si>
    <t>Valor Atualizado com rendimentos e correções monetárias após decisões judiciais - Até 31/05/25</t>
  </si>
  <si>
    <t>Observações</t>
  </si>
  <si>
    <t>Obrigação de fazer</t>
  </si>
  <si>
    <t>Obrigação de pagar</t>
  </si>
  <si>
    <t>Total</t>
  </si>
  <si>
    <t>I.1 - Projetos das Comunidades Atingidas</t>
  </si>
  <si>
    <t>*Executado e monitorado pelas Instituições de Justiça, sem ingresso nos cofres do Poder Executivo Estadual.
*Valor atualizado considera cálculos realizados pela Vale no respectivo processo judicial; valor total sujeito a rendimentos em contas judiciais ainda não informados; todo o valor sujeito a Auditoria Financeira a ser realizada.</t>
  </si>
  <si>
    <t>I.2 - Programa de Transferência de Renda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</si>
  <si>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01/04/25.</t>
    </r>
  </si>
  <si>
    <t>I.3 - Projetos para a Bacia do Paraopeba</t>
  </si>
  <si>
    <t xml:space="preserve"> 1.867.777.770,73  sendo: 
1.631.481.133,74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</si>
  <si>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  2.029.911.975,91  , sendo: 
   1.764.906.046,67  - Projetos de reparação socioeconômica para a Bacia do Paraopeba - Execução pelos municípios
 265.005.929,24   - Projetos rodoviários regionais - Execução pelo Estado de Minas Gerais diretamente ou  por meio de convênio com os municípios
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</si>
  <si>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color theme="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</si>
  <si>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I.4 - Projetos para Brumadinho</t>
  </si>
  <si>
    <t>853.260.124,99, sendo:
 733.260.124,99 Projetos de reparação socioeconômica para Brumadinho - Execução pelo município
120.000.000,00 - Projetos rodoviários regionais - Execução pelo Estado de Minas Gerais diretamente</t>
  </si>
  <si>
    <t xml:space="preserve">  928.254.772,93, sendo:
     805.279.837,09  - Projetos de reparação socioeconômica para Brumadinho - Execução pelo município
 122.974.935,84 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</si>
  <si>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</si>
  <si>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II.1 - Recuperação socioambiental*</t>
  </si>
  <si>
    <t>*Valor estimado, mas não representa teto, cabendo à Vale a realização de ações e gastos que garantam a recuperação do meio ambiente verificada por meio do alcance de indicadores de qualidade ambiental iguais ou melhores que os anteriores ao Rompimento.</t>
  </si>
  <si>
    <t>II.2 - Compensação socioambiental*</t>
  </si>
  <si>
    <r>
      <rPr>
        <sz val="1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  </r>
  </si>
  <si>
    <t>II.3 - Segurança Hídrica</t>
  </si>
  <si>
    <t>*Considera o valor com correção monetária e rendimentos judiciais pago ao Estado de Minas Gerias (sujeito a Auditoria Financeira a ser realizada) somado ao rendimento de aplicações financeiras estaduais.</t>
  </si>
  <si>
    <t>III - Mobilidade</t>
  </si>
  <si>
    <t>*Considera o valor com correção monetária e rendimentos judiciais pago ao Estado de Minas Gerias (sujeito a Auditoria Financeira a ser realizada) somado ao rendimento de aplicações financeiras estaduais e à projeção de recebimento das parcelas restantes no mesmo valor pago pela Vale da última parcela.</t>
  </si>
  <si>
    <t>IV - Fortalecimento do Serviço Público</t>
  </si>
  <si>
    <t>*Considera o valor com correção monetária e rendimentos judiciais pago ao Estado de Minas Gerias (sujeito a Auditoria Financeira a ser realizada) somado ao rendimento de aplicações financeiras estaduais</t>
  </si>
  <si>
    <t>4.4.9 - Biofábrica/FUNED</t>
  </si>
  <si>
    <t>*Valor atualizado considera o dado de "Acordo Atualizado" informado pela FGV nos produtos entregues em Fevereiro/25.</t>
  </si>
  <si>
    <t>4.4.10 - Ressarcimentos de Despesas Públicas</t>
  </si>
  <si>
    <t>4.4.11 - Estruturas de Apoio*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</si>
  <si>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</si>
  <si>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4.4.12 - TAC Bombeiro e TAC Defesa Civil</t>
  </si>
  <si>
    <t>*Valor atualizado considera o dado de "Acordo Atualizado" informado pela FGV nos produtos entregues em Março/25.</t>
  </si>
  <si>
    <t>SUBTOTAL Valores previstos no Acordo a executar</t>
  </si>
  <si>
    <t>PAGO Pré-Acordo - Antecipação COVID</t>
  </si>
  <si>
    <t>PAGO Pré-Acordo - Despesas com reparação pré-Acordo</t>
  </si>
  <si>
    <t>PAGO Pré-Acordo - Auxílio Emergencial</t>
  </si>
  <si>
    <t>PAGO Pré-Acordo - Ressarcimento ao Estado</t>
  </si>
  <si>
    <t>SUBTOTAL Valores executados antes do Acordo</t>
  </si>
  <si>
    <t>TOTAL</t>
  </si>
  <si>
    <t>Valor Nominal após decisões judiciais - Até 30/04/25</t>
  </si>
  <si>
    <t>Valor Atualizado com rendimentos e correções monetárias após decisões judiciais - Até 30/04/25</t>
  </si>
  <si>
    <t>Controle de Atualização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</si>
  <si>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01/04/25.</t>
    </r>
  </si>
  <si>
    <t>Pedro 05/05</t>
  </si>
  <si>
    <t>1.867.777.770,73, sendo: 
1.631.481.133,74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</si>
  <si>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1.967.330.741,87 , sendo: 
 1.703.459.459,14  - Projetos de reparação socioeconômica para a Bacia do Paraopeba - Execução pelos municípios
263.871.282,73  - Projetos rodoviários regionais - Execução pelo Estado de Minas Gerais diretamente ou  por meio de convênio com os municípios
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</si>
  <si>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color theme="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</si>
  <si>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Brenda 29/04</t>
  </si>
  <si>
    <t>924.280.367,35, sendo:
   801.831.959,66 - Projetos de reparação socioeconômica para Brumadinho - Execução pelo município
 122.448.407,69 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</si>
  <si>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</si>
  <si>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/</t>
  </si>
  <si>
    <r>
      <rPr>
        <sz val="11"/>
        <color theme="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  </r>
  </si>
  <si>
    <t>Matheus 30/04/2025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</si>
  <si>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</si>
  <si>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31/03/25</t>
  </si>
  <si>
    <t>Valor Atualizado com rendimentos e correções monetárias após decisões judiciais - Até 31/03/25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</si>
  <si>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01/04/25.</t>
    </r>
  </si>
  <si>
    <t>1.813.656.058,88, sendo: 
1.577.359.421,89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</si>
  <si>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1.956.375.041,63, sendo: 
1.693.973.209,17 - Projetos de reparação socioeconômica para a Bacia do Paraopeba - Execução pelos municípios
262.401.832,46  - Projetos rodoviários regionais - Execução pelo Estado de Minas Gerais diretamente ou  por meio de convênio com os municípios
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</si>
  <si>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color theme="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</si>
  <si>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Brenda 31-03</t>
  </si>
  <si>
    <t>853.260.124,99, sendo:
 733.260.124,98 Projetos de reparação socioeconômica para Brumadinho - Execução pelo município
120.000.000,00 - Projetos rodoviários regionais - Execução pelo Estado de Minas Gerais diretamente</t>
  </si>
  <si>
    <t>919.133.221,31, sendo:
 797.366.706,11  - Projetos de reparação socioeconômica para Brumadinho - Execução pelo município
121.766.515,2 -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</si>
  <si>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</si>
  <si>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r>
      <rPr>
        <sz val="11"/>
        <color theme="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  </r>
  </si>
  <si>
    <t>Matheus 31/03/2025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</si>
  <si>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</si>
  <si>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28/02/25</t>
  </si>
  <si>
    <t>Valor Atualizado com rendimentos e correções monetárias após decisões judiciais - Até 28/02/25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</si>
  <si>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06/03/25.</t>
    </r>
  </si>
  <si>
    <t>1.797.281.123,78, sendo: 
1.560.984.486,79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</si>
  <si>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1.931.289.658,76, sendo: 
1.672.280.841,79 - Projetos de reparação socioeconômica para a Bacia do Paraopeba - Execução pelos municípios
259.008.816,96  - Projetos rodoviários regionais - Execução pelo Estado de Minas Gerais diretamente ou  por meio de convênio com os municípios
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</si>
  <si>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color theme="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</si>
  <si>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Brenda 28-02</t>
  </si>
  <si>
    <t>973.260.124,99, sendo:
853.260.124,99 Projetos de reparação socioeconômica para Brumadinho - Execução pelo município
120.000.000,00 - Projetos rodoviários regionais - Execução pelo Estado de Minas Gerais diretamente</t>
  </si>
  <si>
    <t>907.248.268,99, sendo: 787.056.268,99 - Projetos de reparação socioeconômica para Brumadinho - Execução pelo município
120.192.000,00 -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</si>
  <si>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</si>
  <si>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r>
      <rPr>
        <sz val="11"/>
        <color theme="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  </r>
  </si>
  <si>
    <t>Matheus 28/02/2025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</si>
  <si>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</si>
  <si>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31/01/25</t>
  </si>
  <si>
    <t>Valor Atualizado com rendimentos e correções monetárias após decisões judiciais - Até 31/01/25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</si>
  <si>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03/02/25.</t>
  </si>
  <si>
    <t>1.797.281.123,78, sendo: 1.560.984.486,79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</si>
  <si>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1.911.855.754,44, sendo: 
1.653.260.689,59- Projetos de reparação socioeconômica para a Bacia do Paraopeba - Execução pelos municípios
258.595.064,85  - Projetos rodoviários regionais - Execução pelo Estado de Minas Gerais diretamente ou  por meio de convênio com os municípios
</t>
  </si>
  <si>
    <t>*Para mais detalhes sobre as decisões judiciais que autorizaram a conversão e os respectivos projetos clique aqui.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informado aqui (COLOCAR O LINK DA PÁGINA "OBRIGAÇÕES DE PAGAR DA VALE", QUE TEM A LINHA DO ANEXO I.3)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</si>
  <si>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>Brenda OK</t>
  </si>
  <si>
    <t xml:space="preserve">733.260.124,99 Projetos de reparação socioeconômica para Brumadinho - Execução pelo município
</t>
  </si>
  <si>
    <t xml:space="preserve">
905.798.990,60 - Projetos de reparação socioeconômica para Brumadinho - Execução pelo município
</t>
  </si>
  <si>
    <t>*Para mais detalhes sobre as decisões judiciais que autorizaram a conversão e os respectivos projetos clique aqui.
*Obrigação de pagar - Projetos de reparação socioeconômica para Brumadinho: o "Valor Nominal após decisões judiciais" considera o valor nominal dos projetos convertidos a partir do parecer emitido pela FGV e pagos pela Vale em juízo.
* 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</si>
  <si>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clique aqui.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</si>
  <si>
    <t>*Valor atualizado considera o dado de "Acordo Atualizado" informado pela FGV nos produtos entregues em Dezembro/24.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</si>
  <si>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</si>
  <si>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31/12/24</t>
  </si>
  <si>
    <t>Valor Atualizado com rendimentos e correções monetárias após decisões judiciais - Até 31/12/24</t>
  </si>
  <si>
    <t>Ok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</si>
  <si>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02/01/25.</t>
  </si>
  <si>
    <t xml:space="preserve">1.901.965.533,67, sendo: 
1.644.708.206,91 - Projetos de reparação socioeconômica para a Bacia do Paraopeba - Execução pelos municípios
257.257.326,76  - Projetos rodoviários regionais - Execução pelo Estado de Minas Gerais diretamente ou  por meio de convênio com os municípios
</t>
  </si>
  <si>
    <t xml:space="preserve">Atualizado 30/12 - Brenda </t>
  </si>
  <si>
    <t xml:space="preserve">
781.733.973,94 - Projetos de reparação socioeconômica para Brumadinho - Execução pelo município
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</si>
  <si>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</si>
  <si>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30/11/24</t>
  </si>
  <si>
    <t>Valor Atualizado com rendimentos e correções monetárias após decisões judiciais - Até 30/11/24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</si>
  <si>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01/11/24.</t>
  </si>
  <si>
    <t xml:space="preserve">1.894.576.684,61, sendo:
 1.638.318.763,74  - Projetos de reparação socioeconômica para a Bacia do Paraopeba - Execução pelos municípios
 256.257.920,87  - Projetos rodoviários regionais - Execução pelo Estado de Minas Gerais diretamente ou  por meio de convênio com os municípios
</t>
  </si>
  <si>
    <t xml:space="preserve">
778.697.055,42 - Projetos de reparação socioeconômica para Brumadinho - Execução pelo município
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</si>
  <si>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somado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clique aqui.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</si>
  <si>
    <t>*Valor atualizado considera o dado de "Acordo Atualizado" informado pela FGV nos produtos entregues em Outubro/24.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</si>
  <si>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</si>
  <si>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31/10/24</t>
  </si>
  <si>
    <t>Valor Atualizado com rendimentos e correções monetárias após decisões judiciais - Até 31/10/24</t>
  </si>
  <si>
    <t>Ok Pedro</t>
  </si>
  <si>
    <t>Ok Pedro - 1/11</t>
  </si>
  <si>
    <t xml:space="preserve">1.884.418.557,71, sendo:
 1.629.587.689,70  - Projetos de reparação socioeconômica para a Bacia do Paraopeba - Execução pelos municípios
 254.830.868,01  - Projetos rodoviários regionais - Execução pelo Estado de Minas Gerais diretamente ou  por meio de convênio com os municípios
</t>
  </si>
  <si>
    <t>Ok Karen, Ok Pedro</t>
  </si>
  <si>
    <t>Bacia OK. Atualizado por Eduardo Lana em 01/11</t>
  </si>
  <si>
    <t xml:space="preserve">
774.360.635,86 - Projetos de reparação socioeconômica para Brumadinho - Execução pelo município
</t>
  </si>
  <si>
    <t>Pedro via Andrei ou Áurea</t>
  </si>
  <si>
    <t>Matheus - ok</t>
  </si>
  <si>
    <t>Ok Matheus - 1/11</t>
  </si>
  <si>
    <t>OK Pedro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</si>
  <si>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</si>
  <si>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Ok fórmula</t>
  </si>
  <si>
    <t>Valor Nominal após decisões judiciais - Até 30/09/24</t>
  </si>
  <si>
    <t>Valor Atualizado com rendimentos e correções monetárias após decisões judiciais - Até 30/09/24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</si>
  <si>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01/10/24.</t>
  </si>
  <si>
    <t>1.726.813.797,04, sendo: 1.490.517.160,05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</si>
  <si>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1.806.048.179,08, sendo:
  1.552.333.654,98 - Projetos de reparação socioeconômica para a Bacia do Paraopeba - Execução pelos municípios 
 253.714.524,10 - Projetos rodoviários regionais - Execução pelo Estado de Minas Gerais diretamente ou  por meio de convênio com os municípios
</t>
  </si>
  <si>
    <t xml:space="preserve">
 770.968.375,01 - Projetos de reparação socioeconômica para Brumadinho - Execução pelo município
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</si>
  <si>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paga pela Vale, com correção monetária por ela calculado, de R$211.773.067,20 somado ao saldo de valor nominal de R$1,247 bilhão a ser corrigido a cada pagamento conforme cronograma pactuado e sujeito à análise da Auditoria Financeira. Recursos serão recebidos pelo Banco de Desenvolvimento de Minas Gerais - BDMG e repassados aos municípios conforme editais a serem publicados, sem ingresso nos cofres do Poder Executivo Estadual.
*Cálculo da correção monetária das obrigações de fazer remanescentes em discussão com Auditoria Socioambiental.</t>
  </si>
  <si>
    <t>*Valor atualizado considera o dado de "Acordo Atualizado" informado pela FGV nos produtos entregues em Setembro/24.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</si>
  <si>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</si>
  <si>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31/08/24</t>
  </si>
  <si>
    <t>Valor Atualizado com rendimentos e correções monetárias após decisões judiciais - Até 31/08/24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</si>
  <si>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02/09/24.</t>
  </si>
  <si>
    <t>1.716.913.774,52, sendo: 1.480.617.137,53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</si>
  <si>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1.796.507.458,05, sendo:
  1.542.742.180,89 -  Projetos de reparação socioeconômica para a Bacia do Paraopeba - Execução pelos municípios 
 253.765.277,16    - Projetos rodoviários regionais - Execução pelo Estado de Minas Gerais diretamente ou  por meio de convênio com os municípios
</t>
  </si>
  <si>
    <t xml:space="preserve">
 771.122.599,53 - Projetos de reparação socioeconômica para Brumadinho - Execução pelo município
</t>
  </si>
  <si>
    <t>*Valor atualizado considera o dado de "Acordo Atualizado" informado pela FGV nos produtos entregues em Agosto/24.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</si>
  <si>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</si>
  <si>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31/07/24</t>
  </si>
  <si>
    <t>Valor Atualizado com rendimentos e correções monetárias após decisões judiciais - Até 31/07/24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</si>
  <si>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01/08/24.</t>
  </si>
  <si>
    <t xml:space="preserve">1.789.866.686,99, sendo:
 1.537.062.067,38  -  Projetos de reparação socioeconômica para a Bacia do Paraopeba - Execução pelos municípios 
 252.804.619,60   - Projetos rodoviários regionais - Execução pelo Estado de Minas Gerais diretamente ou  por meio de convênio com os municípios
</t>
  </si>
  <si>
    <t>OK</t>
  </si>
  <si>
    <t xml:space="preserve">768.203.426,51
 Projetos de reparação socioeconômica para Brumadinho - Execução pelo município
</t>
  </si>
  <si>
    <t>*Valor atualizado considera o dado de "Acordo Atualizado" informado pela FGV nos produtos entregues em Julho/24.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</si>
  <si>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</si>
  <si>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30/06/24</t>
  </si>
  <si>
    <t>Valor Atualizado com rendimentos e correções monetárias após decisões judiciais - Até 30/06/24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</si>
  <si>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01/07/24.</t>
  </si>
  <si>
    <t>1.678.455.058,05, sendo: 1.442.158.421,06 -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</si>
  <si>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1.744.174.154,96 sendo:
1.491.899.312,53 -  Projetos de reparação socioeconômica para a Bacia do Paraopeba - Execução pelos municípios 
   252.274.842,43  - Projetos rodoviários regionais - Execução pelo Estado de Minas Gerais diretamente ou  por meio de convênio com os municípios
</t>
  </si>
  <si>
    <t xml:space="preserve">766.593.580,00
 Projetos de reparação socioeconômica para Brumadinho - Execução pelo município
</t>
  </si>
  <si>
    <t>*Foi homologado judicialmente petido dos Compromitentes, em comum acordo com a Vale, de conversão de obrigação de fazer em pagar, no valor nominal de R$1,417 bilhão, referente ao projeto "Saneamento Básico na Bacia do Paraopeba". Para acesso à decisão judicial, clique aqui. Correção monetária do referido valor será calculado pela Vale a cada pagamento e sujeito à análise da Auditoria Financeira. Recursos serão recebidos pelo Banco de Desenvolvimento de Minas Gerais - BDMG e repassados aos municípios conforme editais a serem publicados, sem ingresso nos cofres do Poder Executivo Estadual.
*Cálculo da correção monetária das obrigações de fazer remanescentes em discussão com Auditoria Socioambiental.</t>
  </si>
  <si>
    <t>*Valor atualizado considera o dado de "Acordo Atualizado" informado pela FGV nos produtos entregues em Junho/24.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</si>
  <si>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</si>
  <si>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ANEXO</t>
  </si>
  <si>
    <t>Valor Original do Acordo Judicial</t>
  </si>
  <si>
    <t>Valor Nominal após decisões judiciais - Até 31/05/24</t>
  </si>
  <si>
    <t>Valor Atualizado com rendimentos e correções monetárias após decisões judiciais - Até 31/05/24</t>
  </si>
  <si>
    <t>OBSERVAÇÃO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</si>
  <si>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03/06/24.</t>
  </si>
  <si>
    <t>1.538.167.873,18, sendo: 1.301.871.236,19 -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</si>
  <si>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1.737.220.093,49, sendo:
 1.486.100.401,64 
-  Projetos de reparação socioeconômica para a Bacia do Paraopeba - Execução pelos municípios 
 251.119.691,85  - Projetos rodoviários regionais - Execução pelo Estado de Minas Gerais diretamente ou  por meio de convênio com os municípios
</t>
  </si>
  <si>
    <t xml:space="preserve">732.396.555,54 Projetos de reparação socioeconômica para Brumadinho - Execução pelo município
</t>
  </si>
  <si>
    <t xml:space="preserve">
763.083.396,37
 Projetos de reparação socioeconômica para Brumadinho - Execução pelo município
</t>
  </si>
  <si>
    <t>*Foi peticionado pelos Compromitentes, em comum acordo com a Vale, a conversão de obrigação de fazer em pagar, no valor nominal de R$1,471 bilhão, referente ao projeto "Saneamento Básico na Bacia do Paraopeba", aguardando decisão judicial. 
*Cálculo da correção monetária em discussão com Auditoria Socioambiental</t>
  </si>
  <si>
    <r>
      <rPr>
        <sz val="11"/>
        <color theme="1"/>
        <rFont val="Arial"/>
      </rPr>
      <t xml:space="preserve">*Considera o valor com correção monetária e rendimentos judiciais pago ao Estado de Minas Gerias (sujeito a Auditoria Financeira a ser realizada) somado ao rendimento de aplicações financeiras estaduais e a projeção de recebimento das parcelas restantes no mesmo valor </t>
    </r>
    <r>
      <rPr>
        <sz val="11"/>
        <color theme="1"/>
        <rFont val="Arial"/>
      </rPr>
      <t>pago pela Vale</t>
    </r>
    <r>
      <rPr>
        <sz val="11"/>
        <color theme="1"/>
        <rFont val="Arial"/>
      </rPr>
      <t xml:space="preserve"> da última parcela.</t>
    </r>
  </si>
  <si>
    <t>*Valor atualizado considera o dado de "Acordo Atualizado" informado pela FGV nos produtos entregues em Maio/24.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</si>
  <si>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</si>
  <si>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31/03/24</t>
  </si>
  <si>
    <t>Valor Atualizado com rendimentos e correções monetárias após decisões judiciais - Até 31/03/24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</si>
  <si>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17/04/24.</t>
  </si>
  <si>
    <t xml:space="preserve">1.486.057.989,74, sendo:
1.249.761.352,75 -  Projetos de reparação socioeconômica para a Bacia do Paraopeba - Execução pelos municípios 
236.296.636,99 - Projetos rodoviários regionais - Execução pelo Estado de Minas Gerais diretamente ou  por meio de convênio com os municípios
</t>
  </si>
  <si>
    <t xml:space="preserve">1.552.739.725, 38:
   1.302.570.675,92 
-  Projetos de reparação socioeconômica para a Bacia do Paraopeba - Execução pelos municípios 
 250.169.049,46 - Projetos rodoviários regionais - Execução pelo Estado de Minas Gerais diretamente ou  por meio de convênio com os municípios
</t>
  </si>
  <si>
    <t>*Para mais detalhes sobre as decisões judiciais que autorizaram a conversão e os respectivos projetos clique aqui.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monetárias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informado aqui (COLOCAR O LINK DA PÁGINA "OBRIGAÇÕES DE PAGAR DA VALE", QUE TEM A LINHA DO ANEXO I.3)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</si>
  <si>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 xml:space="preserve"> 760.194.656,67
 Projetos de reparação socioeconômica para Brumadinho - Execução pelo município
</t>
  </si>
  <si>
    <r>
      <rPr>
        <sz val="11"/>
        <color theme="1"/>
        <rFont val="Arial"/>
      </rPr>
      <t xml:space="preserve">*Considera o valor com correção monetária e rendimentos judiciais pago ao Estado de Minas Gerias (sujeito a Auditoria Financeira a ser realizada) somado ao rendimento de aplicações financeiras estaduais e a projeção de recebimento das parcelas restantes no mesmo valor </t>
    </r>
    <r>
      <rPr>
        <sz val="11"/>
        <color theme="1"/>
        <rFont val="Arial"/>
      </rPr>
      <t>pago pela Vale</t>
    </r>
    <r>
      <rPr>
        <sz val="11"/>
        <color theme="1"/>
        <rFont val="Arial"/>
      </rPr>
      <t xml:space="preserve"> da última parcela.</t>
    </r>
  </si>
  <si>
    <t>*Valor atualizado considera o dado de dado de "Acordo Atualizado" informado pela FGV em 26/04/24.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</si>
  <si>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</si>
  <si>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*Valor atualizado considera o dado de "Acordo Atualizado" informado pela FGV em 26/04/24.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</si>
</sst>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"/>
    <numFmt numFmtId="165" formatCode="[$R$ -416]#,##0.00"/>
  </numFmts>
  <fonts count="28">
    <font>
      <sz val="11"/>
      <color theme="1"/>
      <name val="Aptos narrow"/>
      <scheme val="minor"/>
    </font>
    <font>
      <sz val="9"/>
      <color theme="1"/>
      <name val="Aptos narrow"/>
    </font>
    <font>
      <sz val="11"/>
      <color theme="1"/>
      <name val="Aptos narrow"/>
    </font>
    <font>
      <b/>
      <sz val="11"/>
      <color rgb="FF156082"/>
      <name val="Arial"/>
    </font>
    <font>
      <sz val="11"/>
      <name val="Aptos narrow"/>
    </font>
    <font>
      <b/>
      <sz val="11"/>
      <color rgb="FFFFFFFF"/>
      <name val="Arial"/>
    </font>
    <font>
      <sz val="11"/>
      <color theme="1"/>
      <name val="Arial"/>
    </font>
    <font>
      <sz val="11"/>
      <color theme="1"/>
      <name val="Aptos narrow"/>
    </font>
    <font>
      <b/>
      <sz val="11"/>
      <color theme="1"/>
      <name val="Aptos narrow"/>
    </font>
    <font>
      <b/>
      <sz val="11"/>
      <color theme="1"/>
      <name val="Arial"/>
    </font>
    <font>
      <u/>
      <sz val="11"/>
      <color rgb="FF0000FF"/>
      <name val="Aptos narrow"/>
    </font>
    <font>
      <sz val="11"/>
      <color theme="1"/>
      <name val="Arial"/>
    </font>
    <font>
      <u/>
      <sz val="11"/>
      <color rgb="FF0000FF"/>
      <name val="Aptos narrow"/>
    </font>
    <font>
      <b/>
      <i/>
      <sz val="11"/>
      <color theme="1"/>
      <name val="Arial"/>
    </font>
    <font>
      <b/>
      <i/>
      <sz val="11"/>
      <color theme="1"/>
      <name val="Aptos narrow"/>
    </font>
    <font>
      <i/>
      <sz val="11"/>
      <color theme="1"/>
      <name val="Aptos narrow"/>
    </font>
    <font>
      <i/>
      <sz val="11"/>
      <color theme="1"/>
      <name val="Aptos narrow"/>
    </font>
    <font>
      <sz val="11"/>
      <color rgb="FF000000"/>
      <name val="Arial"/>
    </font>
    <font>
      <u/>
      <sz val="11"/>
      <color rgb="FF0000FF"/>
      <name val="Arial"/>
    </font>
    <font>
      <u/>
      <sz val="11"/>
      <color theme="1"/>
      <name val="Arial"/>
    </font>
    <font>
      <u/>
      <sz val="11"/>
      <color theme="1"/>
      <name val="Arial"/>
    </font>
    <font>
      <u/>
      <sz val="11"/>
      <color theme="1"/>
      <name val="Arial"/>
    </font>
    <font>
      <i/>
      <sz val="11"/>
      <color theme="1"/>
      <name val="Arial"/>
    </font>
    <font>
      <i/>
      <sz val="11"/>
      <color theme="1"/>
      <name val="Arial"/>
    </font>
    <font>
      <b/>
      <sz val="11"/>
      <color rgb="FFFFFFFF"/>
      <name val="Aptos narrow"/>
    </font>
    <font>
      <sz val="11"/>
      <color rgb="FF1F1F1F"/>
      <name val="Arial"/>
    </font>
    <font>
      <sz val="11"/>
      <name val="Arial"/>
    </font>
    <font>
      <u/>
      <sz val="11"/>
      <color rgb="FF1155CC"/>
      <name val="Arial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495D7B"/>
        <bgColor rgb="FF495D7B"/>
      </patternFill>
    </fill>
    <fill>
      <patternFill patternType="solid">
        <fgColor rgb="FFD46C7B"/>
        <bgColor rgb="FFD46C7B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theme="9"/>
        <bgColor theme="9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FF9900"/>
        <bgColor rgb="FFFF9900"/>
      </patternFill>
    </fill>
    <fill>
      <patternFill patternType="solid">
        <fgColor rgb="FF6FA8DC"/>
        <bgColor rgb="FF6FA8DC"/>
      </patternFill>
    </fill>
    <fill>
      <patternFill patternType="solid">
        <fgColor theme="4"/>
        <bgColor theme="4"/>
      </patternFill>
    </fill>
  </fills>
  <borders count="22">
    <border>
      <left/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FFFFFF"/>
      </left>
      <right style="thin">
        <color rgb="FF000000"/>
      </right>
      <top style="thick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75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5" fillId="4" borderId="6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vertical="center"/>
    </xf>
    <xf numFmtId="164" fontId="6" fillId="6" borderId="7" xfId="0" applyNumberFormat="1" applyFont="1" applyFill="1" applyBorder="1" applyAlignment="1">
      <alignment vertical="center"/>
    </xf>
    <xf numFmtId="164" fontId="7" fillId="6" borderId="7" xfId="0" applyNumberFormat="1" applyFont="1" applyFill="1" applyBorder="1" applyAlignment="1">
      <alignment vertical="center"/>
    </xf>
    <xf numFmtId="164" fontId="8" fillId="6" borderId="7" xfId="0" applyNumberFormat="1" applyFont="1" applyFill="1" applyBorder="1" applyAlignment="1">
      <alignment horizontal="center" vertical="center"/>
    </xf>
    <xf numFmtId="164" fontId="7" fillId="6" borderId="7" xfId="0" applyNumberFormat="1" applyFont="1" applyFill="1" applyBorder="1" applyAlignment="1">
      <alignment horizontal="center" vertical="center"/>
    </xf>
    <xf numFmtId="164" fontId="7" fillId="6" borderId="8" xfId="0" applyNumberFormat="1" applyFont="1" applyFill="1" applyBorder="1" applyAlignment="1">
      <alignment horizontal="center" vertical="center"/>
    </xf>
    <xf numFmtId="164" fontId="6" fillId="6" borderId="7" xfId="0" applyNumberFormat="1" applyFont="1" applyFill="1" applyBorder="1" applyAlignment="1">
      <alignment horizontal="center" vertical="center"/>
    </xf>
    <xf numFmtId="164" fontId="6" fillId="6" borderId="8" xfId="0" applyNumberFormat="1" applyFont="1" applyFill="1" applyBorder="1" applyAlignment="1">
      <alignment horizontal="left" vertical="top" wrapText="1"/>
    </xf>
    <xf numFmtId="0" fontId="2" fillId="0" borderId="0" xfId="0" applyFont="1" applyAlignment="1">
      <alignment vertical="center"/>
    </xf>
    <xf numFmtId="0" fontId="7" fillId="0" borderId="9" xfId="0" applyFont="1" applyBorder="1" applyAlignment="1">
      <alignment vertical="center"/>
    </xf>
    <xf numFmtId="164" fontId="6" fillId="0" borderId="9" xfId="0" applyNumberFormat="1" applyFont="1" applyBorder="1" applyAlignment="1">
      <alignment vertical="center"/>
    </xf>
    <xf numFmtId="164" fontId="7" fillId="0" borderId="9" xfId="0" applyNumberFormat="1" applyFont="1" applyBorder="1" applyAlignment="1">
      <alignment vertical="center"/>
    </xf>
    <xf numFmtId="164" fontId="9" fillId="0" borderId="7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vertical="center"/>
    </xf>
    <xf numFmtId="0" fontId="6" fillId="0" borderId="9" xfId="0" applyFont="1" applyBorder="1" applyAlignment="1">
      <alignment vertical="center"/>
    </xf>
    <xf numFmtId="164" fontId="6" fillId="0" borderId="9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64" fontId="6" fillId="2" borderId="9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164" fontId="7" fillId="2" borderId="9" xfId="0" applyNumberFormat="1" applyFont="1" applyFill="1" applyBorder="1" applyAlignment="1">
      <alignment vertical="center"/>
    </xf>
    <xf numFmtId="164" fontId="6" fillId="2" borderId="9" xfId="0" applyNumberFormat="1" applyFont="1" applyFill="1" applyBorder="1" applyAlignment="1">
      <alignment vertical="center"/>
    </xf>
    <xf numFmtId="49" fontId="6" fillId="0" borderId="9" xfId="0" applyNumberFormat="1" applyFont="1" applyBorder="1" applyAlignment="1">
      <alignment vertical="center" wrapText="1"/>
    </xf>
    <xf numFmtId="164" fontId="6" fillId="0" borderId="9" xfId="0" applyNumberFormat="1" applyFont="1" applyBorder="1" applyAlignment="1">
      <alignment vertical="center" wrapText="1"/>
    </xf>
    <xf numFmtId="49" fontId="12" fillId="0" borderId="0" xfId="0" applyNumberFormat="1" applyFont="1" applyAlignment="1">
      <alignment wrapText="1"/>
    </xf>
    <xf numFmtId="0" fontId="13" fillId="0" borderId="9" xfId="0" applyFont="1" applyBorder="1" applyAlignment="1">
      <alignment vertical="center"/>
    </xf>
    <xf numFmtId="164" fontId="14" fillId="0" borderId="9" xfId="0" applyNumberFormat="1" applyFont="1" applyBorder="1" applyAlignment="1">
      <alignment vertical="center"/>
    </xf>
    <xf numFmtId="164" fontId="15" fillId="7" borderId="0" xfId="0" applyNumberFormat="1" applyFont="1" applyFill="1" applyAlignment="1">
      <alignment vertical="center"/>
    </xf>
    <xf numFmtId="0" fontId="16" fillId="0" borderId="0" xfId="0" applyFont="1" applyAlignment="1">
      <alignment vertical="center"/>
    </xf>
    <xf numFmtId="164" fontId="7" fillId="7" borderId="0" xfId="0" applyNumberFormat="1" applyFont="1" applyFill="1" applyAlignment="1">
      <alignment vertical="center"/>
    </xf>
    <xf numFmtId="164" fontId="5" fillId="4" borderId="6" xfId="0" applyNumberFormat="1" applyFont="1" applyFill="1" applyBorder="1" applyAlignment="1">
      <alignment horizontal="center" vertical="center"/>
    </xf>
    <xf numFmtId="164" fontId="5" fillId="4" borderId="10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7" fillId="7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 wrapText="1"/>
    </xf>
    <xf numFmtId="4" fontId="17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left" vertical="top" wrapText="1"/>
    </xf>
    <xf numFmtId="0" fontId="6" fillId="9" borderId="0" xfId="0" applyFont="1" applyFill="1" applyAlignment="1">
      <alignment horizontal="left" vertical="top" wrapText="1"/>
    </xf>
    <xf numFmtId="164" fontId="18" fillId="0" borderId="8" xfId="0" applyNumberFormat="1" applyFont="1" applyBorder="1" applyAlignment="1">
      <alignment wrapText="1"/>
    </xf>
    <xf numFmtId="164" fontId="6" fillId="0" borderId="9" xfId="0" applyNumberFormat="1" applyFont="1" applyBorder="1" applyAlignment="1">
      <alignment horizontal="center" vertical="center" wrapText="1"/>
    </xf>
    <xf numFmtId="164" fontId="19" fillId="0" borderId="9" xfId="0" applyNumberFormat="1" applyFont="1" applyBorder="1" applyAlignment="1">
      <alignment horizontal="left" vertical="center" wrapText="1"/>
    </xf>
    <xf numFmtId="164" fontId="20" fillId="0" borderId="9" xfId="0" applyNumberFormat="1" applyFont="1" applyBorder="1" applyAlignment="1">
      <alignment vertical="center" wrapText="1"/>
    </xf>
    <xf numFmtId="0" fontId="11" fillId="0" borderId="0" xfId="0" applyFont="1"/>
    <xf numFmtId="165" fontId="21" fillId="0" borderId="9" xfId="0" applyNumberFormat="1" applyFont="1" applyBorder="1" applyAlignment="1">
      <alignment vertical="center" wrapText="1"/>
    </xf>
    <xf numFmtId="164" fontId="15" fillId="0" borderId="9" xfId="0" applyNumberFormat="1" applyFont="1" applyBorder="1" applyAlignment="1">
      <alignment vertical="center"/>
    </xf>
    <xf numFmtId="0" fontId="22" fillId="9" borderId="0" xfId="0" applyFont="1" applyFill="1" applyAlignment="1">
      <alignment horizontal="left" vertical="top" wrapText="1"/>
    </xf>
    <xf numFmtId="10" fontId="22" fillId="9" borderId="0" xfId="0" applyNumberFormat="1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5" fillId="4" borderId="6" xfId="0" applyFont="1" applyFill="1" applyBorder="1" applyAlignment="1">
      <alignment horizontal="center" vertical="center"/>
    </xf>
    <xf numFmtId="164" fontId="5" fillId="4" borderId="6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164" fontId="6" fillId="0" borderId="8" xfId="0" applyNumberFormat="1" applyFont="1" applyBorder="1" applyAlignment="1">
      <alignment wrapText="1"/>
    </xf>
    <xf numFmtId="165" fontId="6" fillId="0" borderId="9" xfId="0" applyNumberFormat="1" applyFont="1" applyBorder="1" applyAlignment="1">
      <alignment vertical="center" wrapText="1"/>
    </xf>
    <xf numFmtId="0" fontId="2" fillId="7" borderId="0" xfId="0" applyFont="1" applyFill="1" applyAlignment="1">
      <alignment vertical="center"/>
    </xf>
    <xf numFmtId="0" fontId="6" fillId="7" borderId="0" xfId="0" applyFont="1" applyFill="1" applyAlignment="1">
      <alignment horizontal="left" vertical="top" wrapText="1"/>
    </xf>
    <xf numFmtId="0" fontId="11" fillId="7" borderId="0" xfId="0" applyFont="1" applyFill="1"/>
    <xf numFmtId="0" fontId="22" fillId="7" borderId="0" xfId="0" applyFont="1" applyFill="1" applyAlignment="1">
      <alignment horizontal="left" vertical="top" wrapText="1"/>
    </xf>
    <xf numFmtId="10" fontId="22" fillId="7" borderId="0" xfId="0" applyNumberFormat="1" applyFont="1" applyFill="1" applyAlignment="1">
      <alignment horizontal="left" vertical="top" wrapText="1"/>
    </xf>
    <xf numFmtId="0" fontId="7" fillId="7" borderId="0" xfId="0" applyFont="1" applyFill="1" applyAlignment="1">
      <alignment horizontal="left" vertical="center" wrapText="1"/>
    </xf>
    <xf numFmtId="0" fontId="6" fillId="10" borderId="0" xfId="0" applyFont="1" applyFill="1" applyAlignment="1">
      <alignment horizontal="left" vertical="top" wrapText="1"/>
    </xf>
    <xf numFmtId="164" fontId="7" fillId="11" borderId="9" xfId="0" applyNumberFormat="1" applyFont="1" applyFill="1" applyBorder="1" applyAlignment="1">
      <alignment vertical="center"/>
    </xf>
    <xf numFmtId="164" fontId="22" fillId="9" borderId="0" xfId="0" applyNumberFormat="1" applyFont="1" applyFill="1" applyAlignment="1">
      <alignment horizontal="left" vertical="top" wrapText="1"/>
    </xf>
    <xf numFmtId="0" fontId="2" fillId="9" borderId="0" xfId="0" applyFont="1" applyFill="1" applyAlignment="1">
      <alignment horizontal="left" vertical="center" wrapText="1"/>
    </xf>
    <xf numFmtId="0" fontId="2" fillId="9" borderId="0" xfId="0" applyFont="1" applyFill="1" applyAlignment="1">
      <alignment vertical="center"/>
    </xf>
    <xf numFmtId="0" fontId="11" fillId="9" borderId="0" xfId="0" applyFont="1" applyFill="1" applyAlignment="1">
      <alignment horizontal="left" vertical="center" wrapText="1"/>
    </xf>
    <xf numFmtId="0" fontId="2" fillId="11" borderId="0" xfId="0" applyFont="1" applyFill="1" applyAlignment="1">
      <alignment vertical="center"/>
    </xf>
    <xf numFmtId="0" fontId="2" fillId="12" borderId="0" xfId="0" applyFont="1" applyFill="1" applyAlignment="1">
      <alignment vertical="center"/>
    </xf>
    <xf numFmtId="0" fontId="23" fillId="9" borderId="0" xfId="0" applyFont="1" applyFill="1" applyAlignment="1">
      <alignment horizontal="left" vertical="center" wrapText="1"/>
    </xf>
    <xf numFmtId="0" fontId="16" fillId="11" borderId="0" xfId="0" applyFont="1" applyFill="1" applyAlignment="1">
      <alignment vertical="center"/>
    </xf>
    <xf numFmtId="0" fontId="16" fillId="2" borderId="0" xfId="0" applyFont="1" applyFill="1" applyAlignment="1">
      <alignment horizontal="left" vertical="center" wrapText="1"/>
    </xf>
    <xf numFmtId="0" fontId="16" fillId="2" borderId="0" xfId="0" applyFont="1" applyFill="1" applyAlignment="1">
      <alignment vertical="center"/>
    </xf>
    <xf numFmtId="0" fontId="24" fillId="13" borderId="11" xfId="0" applyFont="1" applyFill="1" applyBorder="1" applyAlignment="1">
      <alignment horizontal="center" vertical="center"/>
    </xf>
    <xf numFmtId="0" fontId="24" fillId="13" borderId="1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vertical="center"/>
    </xf>
    <xf numFmtId="164" fontId="6" fillId="2" borderId="7" xfId="0" applyNumberFormat="1" applyFont="1" applyFill="1" applyBorder="1" applyAlignment="1">
      <alignment vertical="center"/>
    </xf>
    <xf numFmtId="164" fontId="7" fillId="2" borderId="7" xfId="0" applyNumberFormat="1" applyFont="1" applyFill="1" applyBorder="1" applyAlignment="1">
      <alignment vertical="center"/>
    </xf>
    <xf numFmtId="164" fontId="8" fillId="2" borderId="17" xfId="0" applyNumberFormat="1" applyFont="1" applyFill="1" applyBorder="1" applyAlignment="1">
      <alignment horizontal="center"/>
    </xf>
    <xf numFmtId="164" fontId="7" fillId="2" borderId="9" xfId="0" applyNumberFormat="1" applyFont="1" applyFill="1" applyBorder="1" applyAlignment="1">
      <alignment horizontal="center"/>
    </xf>
    <xf numFmtId="164" fontId="7" fillId="2" borderId="9" xfId="0" applyNumberFormat="1" applyFont="1" applyFill="1" applyBorder="1"/>
    <xf numFmtId="164" fontId="7" fillId="2" borderId="8" xfId="0" applyNumberFormat="1" applyFont="1" applyFill="1" applyBorder="1" applyAlignment="1">
      <alignment horizontal="center"/>
    </xf>
    <xf numFmtId="164" fontId="6" fillId="2" borderId="9" xfId="0" applyNumberFormat="1" applyFont="1" applyFill="1" applyBorder="1" applyAlignment="1">
      <alignment horizontal="center"/>
    </xf>
    <xf numFmtId="164" fontId="6" fillId="2" borderId="8" xfId="0" applyNumberFormat="1" applyFont="1" applyFill="1" applyBorder="1" applyAlignment="1">
      <alignment horizontal="left" vertical="top" wrapText="1"/>
    </xf>
    <xf numFmtId="0" fontId="7" fillId="2" borderId="9" xfId="0" applyFont="1" applyFill="1" applyBorder="1" applyAlignment="1">
      <alignment vertical="center"/>
    </xf>
    <xf numFmtId="164" fontId="6" fillId="2" borderId="9" xfId="0" applyNumberFormat="1" applyFont="1" applyFill="1" applyBorder="1" applyAlignment="1">
      <alignment vertical="center"/>
    </xf>
    <xf numFmtId="164" fontId="7" fillId="2" borderId="9" xfId="0" applyNumberFormat="1" applyFont="1" applyFill="1" applyBorder="1" applyAlignment="1">
      <alignment vertical="center"/>
    </xf>
    <xf numFmtId="164" fontId="9" fillId="2" borderId="7" xfId="0" applyNumberFormat="1" applyFont="1" applyFill="1" applyBorder="1" applyAlignment="1">
      <alignment horizontal="center"/>
    </xf>
    <xf numFmtId="164" fontId="7" fillId="2" borderId="8" xfId="0" applyNumberFormat="1" applyFont="1" applyFill="1" applyBorder="1"/>
    <xf numFmtId="164" fontId="6" fillId="2" borderId="8" xfId="0" applyNumberFormat="1" applyFont="1" applyFill="1" applyBorder="1" applyAlignment="1">
      <alignment wrapText="1"/>
    </xf>
    <xf numFmtId="0" fontId="11" fillId="2" borderId="0" xfId="0" applyFont="1" applyFill="1" applyAlignment="1">
      <alignment horizontal="left" vertical="center" wrapText="1"/>
    </xf>
    <xf numFmtId="164" fontId="6" fillId="2" borderId="9" xfId="0" applyNumberFormat="1" applyFont="1" applyFill="1" applyBorder="1" applyAlignment="1">
      <alignment horizontal="center" vertical="center"/>
    </xf>
    <xf numFmtId="164" fontId="7" fillId="2" borderId="9" xfId="0" applyNumberFormat="1" applyFont="1" applyFill="1" applyBorder="1" applyAlignment="1">
      <alignment horizontal="center" vertical="center"/>
    </xf>
    <xf numFmtId="164" fontId="6" fillId="2" borderId="9" xfId="0" applyNumberFormat="1" applyFont="1" applyFill="1" applyBorder="1" applyAlignment="1">
      <alignment horizontal="center" vertical="center" wrapText="1"/>
    </xf>
    <xf numFmtId="165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4" fontId="17" fillId="2" borderId="0" xfId="0" applyNumberFormat="1" applyFont="1" applyFill="1" applyAlignment="1">
      <alignment horizontal="center"/>
    </xf>
    <xf numFmtId="164" fontId="6" fillId="2" borderId="9" xfId="0" applyNumberFormat="1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/>
    </xf>
    <xf numFmtId="0" fontId="25" fillId="2" borderId="0" xfId="0" applyFont="1" applyFill="1"/>
    <xf numFmtId="0" fontId="13" fillId="2" borderId="9" xfId="0" applyFont="1" applyFill="1" applyBorder="1" applyAlignment="1">
      <alignment vertical="center"/>
    </xf>
    <xf numFmtId="164" fontId="14" fillId="2" borderId="9" xfId="0" applyNumberFormat="1" applyFont="1" applyFill="1" applyBorder="1" applyAlignment="1">
      <alignment vertical="center"/>
    </xf>
    <xf numFmtId="164" fontId="15" fillId="2" borderId="9" xfId="0" applyNumberFormat="1" applyFont="1" applyFill="1" applyBorder="1" applyAlignment="1">
      <alignment vertical="center"/>
    </xf>
    <xf numFmtId="0" fontId="23" fillId="2" borderId="0" xfId="0" applyFont="1" applyFill="1" applyAlignment="1">
      <alignment horizontal="left" vertical="center" wrapText="1"/>
    </xf>
    <xf numFmtId="0" fontId="8" fillId="2" borderId="9" xfId="0" applyFont="1" applyFill="1" applyBorder="1" applyAlignment="1">
      <alignment vertical="center"/>
    </xf>
    <xf numFmtId="164" fontId="8" fillId="2" borderId="9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4" fillId="14" borderId="16" xfId="0" applyFont="1" applyFill="1" applyBorder="1" applyAlignment="1">
      <alignment vertical="center"/>
    </xf>
    <xf numFmtId="0" fontId="7" fillId="0" borderId="7" xfId="0" applyFont="1" applyBorder="1" applyAlignment="1">
      <alignment vertical="center"/>
    </xf>
    <xf numFmtId="164" fontId="6" fillId="0" borderId="7" xfId="0" applyNumberFormat="1" applyFont="1" applyBorder="1" applyAlignment="1">
      <alignment vertical="center"/>
    </xf>
    <xf numFmtId="164" fontId="7" fillId="0" borderId="7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164" fontId="6" fillId="0" borderId="9" xfId="0" applyNumberFormat="1" applyFont="1" applyBorder="1" applyAlignment="1">
      <alignment vertical="center"/>
    </xf>
    <xf numFmtId="164" fontId="7" fillId="0" borderId="9" xfId="0" applyNumberFormat="1" applyFont="1" applyBorder="1" applyAlignment="1">
      <alignment vertical="center"/>
    </xf>
    <xf numFmtId="164" fontId="8" fillId="0" borderId="8" xfId="0" applyNumberFormat="1" applyFont="1" applyBorder="1"/>
    <xf numFmtId="0" fontId="8" fillId="0" borderId="8" xfId="0" applyFont="1" applyBorder="1"/>
    <xf numFmtId="164" fontId="6" fillId="0" borderId="9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6" fillId="0" borderId="9" xfId="0" applyFont="1" applyBorder="1" applyAlignment="1">
      <alignment vertical="center"/>
    </xf>
    <xf numFmtId="164" fontId="6" fillId="0" borderId="9" xfId="0" applyNumberFormat="1" applyFont="1" applyBorder="1" applyAlignment="1">
      <alignment vertical="center" wrapText="1"/>
    </xf>
    <xf numFmtId="0" fontId="13" fillId="0" borderId="9" xfId="0" applyFont="1" applyBorder="1" applyAlignment="1">
      <alignment vertical="center"/>
    </xf>
    <xf numFmtId="164" fontId="14" fillId="0" borderId="9" xfId="0" applyNumberFormat="1" applyFont="1" applyBorder="1" applyAlignment="1">
      <alignment vertical="center"/>
    </xf>
    <xf numFmtId="164" fontId="15" fillId="0" borderId="9" xfId="0" applyNumberFormat="1" applyFont="1" applyBorder="1" applyAlignment="1">
      <alignment vertical="center"/>
    </xf>
    <xf numFmtId="0" fontId="8" fillId="0" borderId="9" xfId="0" applyFont="1" applyBorder="1" applyAlignment="1">
      <alignment vertical="center"/>
    </xf>
    <xf numFmtId="164" fontId="8" fillId="0" borderId="9" xfId="0" applyNumberFormat="1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4" fontId="11" fillId="0" borderId="0" xfId="0" applyNumberFormat="1" applyFont="1" applyAlignment="1">
      <alignment horizontal="center"/>
    </xf>
    <xf numFmtId="4" fontId="2" fillId="0" borderId="0" xfId="0" applyNumberFormat="1" applyFont="1"/>
    <xf numFmtId="4" fontId="17" fillId="6" borderId="0" xfId="0" applyNumberFormat="1" applyFont="1" applyFill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4" fillId="0" borderId="5" xfId="0" applyFont="1" applyBorder="1"/>
    <xf numFmtId="0" fontId="3" fillId="3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3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1" fillId="8" borderId="0" xfId="0" applyFont="1" applyFill="1" applyAlignment="1">
      <alignment horizontal="left" vertical="center" wrapText="1"/>
    </xf>
    <xf numFmtId="0" fontId="0" fillId="0" borderId="0" xfId="0" applyFont="1" applyAlignment="1"/>
    <xf numFmtId="0" fontId="24" fillId="13" borderId="11" xfId="0" applyFont="1" applyFill="1" applyBorder="1" applyAlignment="1">
      <alignment horizontal="center" vertical="center"/>
    </xf>
    <xf numFmtId="0" fontId="4" fillId="0" borderId="15" xfId="0" applyFont="1" applyBorder="1"/>
    <xf numFmtId="0" fontId="24" fillId="13" borderId="12" xfId="0" applyFont="1" applyFill="1" applyBorder="1" applyAlignment="1">
      <alignment horizontal="center" vertical="center"/>
    </xf>
    <xf numFmtId="0" fontId="4" fillId="0" borderId="13" xfId="0" applyFont="1" applyBorder="1"/>
    <xf numFmtId="0" fontId="4" fillId="0" borderId="14" xfId="0" applyFont="1" applyBorder="1"/>
    <xf numFmtId="0" fontId="5" fillId="13" borderId="12" xfId="0" applyFont="1" applyFill="1" applyBorder="1" applyAlignment="1">
      <alignment horizontal="center" vertical="center"/>
    </xf>
    <xf numFmtId="0" fontId="5" fillId="13" borderId="12" xfId="0" applyFont="1" applyFill="1" applyBorder="1" applyAlignment="1">
      <alignment horizontal="center" vertical="center" wrapText="1"/>
    </xf>
    <xf numFmtId="164" fontId="9" fillId="0" borderId="18" xfId="0" applyNumberFormat="1" applyFont="1" applyBorder="1" applyAlignment="1">
      <alignment horizontal="center"/>
    </xf>
    <xf numFmtId="0" fontId="4" fillId="0" borderId="18" xfId="0" applyFont="1" applyBorder="1"/>
    <xf numFmtId="0" fontId="4" fillId="0" borderId="8" xfId="0" applyFont="1" applyBorder="1"/>
    <xf numFmtId="0" fontId="9" fillId="0" borderId="19" xfId="0" applyFont="1" applyBorder="1" applyAlignment="1">
      <alignment horizontal="center" wrapText="1"/>
    </xf>
    <xf numFmtId="0" fontId="4" fillId="0" borderId="19" xfId="0" applyFont="1" applyBorder="1"/>
    <xf numFmtId="0" fontId="4" fillId="0" borderId="20" xfId="0" applyFont="1" applyBorder="1"/>
    <xf numFmtId="0" fontId="8" fillId="0" borderId="21" xfId="0" applyFont="1" applyBorder="1" applyAlignment="1">
      <alignment horizontal="center"/>
    </xf>
    <xf numFmtId="0" fontId="24" fillId="14" borderId="11" xfId="0" applyFont="1" applyFill="1" applyBorder="1" applyAlignment="1">
      <alignment horizontal="center" vertical="center"/>
    </xf>
    <xf numFmtId="0" fontId="24" fillId="14" borderId="12" xfId="0" applyFont="1" applyFill="1" applyBorder="1" applyAlignment="1">
      <alignment horizontal="center" vertical="center"/>
    </xf>
    <xf numFmtId="0" fontId="5" fillId="14" borderId="12" xfId="0" applyFont="1" applyFill="1" applyBorder="1" applyAlignment="1">
      <alignment horizontal="center" vertical="center"/>
    </xf>
    <xf numFmtId="0" fontId="5" fillId="14" borderId="12" xfId="0" applyFont="1" applyFill="1" applyBorder="1" applyAlignment="1">
      <alignment horizontal="center" vertical="center" wrapText="1"/>
    </xf>
    <xf numFmtId="164" fontId="8" fillId="0" borderId="17" xfId="0" applyNumberFormat="1" applyFont="1" applyBorder="1" applyAlignment="1">
      <alignment horizontal="center"/>
    </xf>
    <xf numFmtId="0" fontId="4" fillId="0" borderId="7" xfId="0" applyFont="1" applyBorder="1"/>
    <xf numFmtId="164" fontId="8" fillId="0" borderId="18" xfId="0" applyNumberFormat="1" applyFont="1" applyBorder="1" applyAlignment="1">
      <alignment horizontal="center"/>
    </xf>
    <xf numFmtId="0" fontId="6" fillId="2" borderId="9" xfId="0" applyNumberFormat="1" applyFont="1" applyFill="1" applyBorder="1" applyAlignment="1">
      <alignment horizontal="center" vertical="center" wrapText="1"/>
    </xf>
    <xf numFmtId="0" fontId="6" fillId="6" borderId="8" xfId="0" applyNumberFormat="1" applyFont="1" applyFill="1" applyBorder="1" applyAlignment="1">
      <alignment horizontal="left" vertical="top" wrapText="1"/>
    </xf>
    <xf numFmtId="0" fontId="10" fillId="0" borderId="0" xfId="0" applyNumberFormat="1" applyFont="1" applyAlignment="1">
      <alignment wrapText="1"/>
    </xf>
    <xf numFmtId="0" fontId="6" fillId="0" borderId="9" xfId="0" applyNumberFormat="1" applyFont="1" applyBorder="1" applyAlignment="1">
      <alignment vertical="center" wrapText="1"/>
    </xf>
  </cellXfs>
  <cellStyles count="1">
    <cellStyle name="Normal" xfId="0" builtinId="0"/>
  </cellStyles>
  <dxfs count="44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2">
    <tableStyle name="310525-style" pivot="0" count="3">
      <tableStyleElement type="headerRow" dxfId="43"/>
      <tableStyleElement type="firstRowStripe" dxfId="42"/>
      <tableStyleElement type="secondRowStripe" dxfId="41"/>
    </tableStyle>
    <tableStyle name="300425-style" pivot="0" count="3">
      <tableStyleElement type="headerRow" dxfId="40"/>
      <tableStyleElement type="firstRowStripe" dxfId="39"/>
      <tableStyleElement type="secondRowStripe" dxfId="38"/>
    </tableStyle>
    <tableStyle name="310325-style" pivot="0" count="3">
      <tableStyleElement type="headerRow" dxfId="37"/>
      <tableStyleElement type="firstRowStripe" dxfId="36"/>
      <tableStyleElement type="secondRowStripe" dxfId="35"/>
    </tableStyle>
    <tableStyle name="280225-style" pivot="0" count="3">
      <tableStyleElement type="headerRow" dxfId="34"/>
      <tableStyleElement type="firstRowStripe" dxfId="33"/>
      <tableStyleElement type="secondRowStripe" dxfId="32"/>
    </tableStyle>
    <tableStyle name="310125-style" pivot="0" count="3">
      <tableStyleElement type="headerRow" dxfId="31"/>
      <tableStyleElement type="firstRowStripe" dxfId="30"/>
      <tableStyleElement type="secondRowStripe" dxfId="29"/>
    </tableStyle>
    <tableStyle name="311224-style" pivot="0" count="3">
      <tableStyleElement type="headerRow" dxfId="28"/>
      <tableStyleElement type="firstRowStripe" dxfId="27"/>
      <tableStyleElement type="secondRowStripe" dxfId="26"/>
    </tableStyle>
    <tableStyle name="301124-style" pivot="0" count="3">
      <tableStyleElement type="headerRow" dxfId="25"/>
      <tableStyleElement type="firstRowStripe" dxfId="24"/>
      <tableStyleElement type="secondRowStripe" dxfId="23"/>
    </tableStyle>
    <tableStyle name="311024-style" pivot="0" count="3">
      <tableStyleElement type="headerRow" dxfId="22"/>
      <tableStyleElement type="firstRowStripe" dxfId="21"/>
      <tableStyleElement type="secondRowStripe" dxfId="20"/>
    </tableStyle>
    <tableStyle name="300924-style" pivot="0" count="3">
      <tableStyleElement type="headerRow" dxfId="19"/>
      <tableStyleElement type="firstRowStripe" dxfId="18"/>
      <tableStyleElement type="secondRowStripe" dxfId="17"/>
    </tableStyle>
    <tableStyle name="310824-style" pivot="0" count="3">
      <tableStyleElement type="headerRow" dxfId="16"/>
      <tableStyleElement type="firstRowStripe" dxfId="15"/>
      <tableStyleElement type="secondRowStripe" dxfId="14"/>
    </tableStyle>
    <tableStyle name="310724-style" pivot="0" count="3">
      <tableStyleElement type="headerRow" dxfId="13"/>
      <tableStyleElement type="firstRowStripe" dxfId="12"/>
      <tableStyleElement type="secondRowStripe" dxfId="11"/>
    </tableStyle>
    <tableStyle name="300624-style" pivot="0" count="3">
      <tableStyleElement type="headerRow" dxfId="10"/>
      <tableStyleElement type="firstRowStripe" dxfId="9"/>
      <tableStyleElement type="secondRowStripe" dxfId="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_1" displayName="Table_1" ref="A4:K24" headerRowCount="0">
  <tableColumns count="11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</tableColumns>
  <tableStyleInfo name="3105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0.xml><?xml version="1.0" encoding="utf-8"?>
<table xmlns="http://schemas.openxmlformats.org/spreadsheetml/2006/main" id="10" name="Table_10" displayName="Table_10" ref="A4:O24" headerRowCount="0">
  <tableColumns count="15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</tableColumns>
  <tableStyleInfo name="3108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1.xml><?xml version="1.0" encoding="utf-8"?>
<table xmlns="http://schemas.openxmlformats.org/spreadsheetml/2006/main" id="11" name="Table_11" displayName="Table_11" ref="A4:O24" headerRowCount="0">
  <tableColumns count="15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</tableColumns>
  <tableStyleInfo name="3107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2.xml><?xml version="1.0" encoding="utf-8"?>
<table xmlns="http://schemas.openxmlformats.org/spreadsheetml/2006/main" id="12" name="Table_12" displayName="Table_12" ref="A4:K24" headerRowCount="0">
  <tableColumns count="11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</tableColumns>
  <tableStyleInfo name="3006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id="2" name="Table_2" displayName="Table_2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004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id="3" name="Table_3" displayName="Table_3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103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id="4" name="Table_4" displayName="Table_4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2802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id="5" name="Table_5" displayName="Table_5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101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6.xml><?xml version="1.0" encoding="utf-8"?>
<table xmlns="http://schemas.openxmlformats.org/spreadsheetml/2006/main" id="6" name="Table_6" displayName="Table_6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112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7.xml><?xml version="1.0" encoding="utf-8"?>
<table xmlns="http://schemas.openxmlformats.org/spreadsheetml/2006/main" id="7" name="Table_7" displayName="Table_7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011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8.xml><?xml version="1.0" encoding="utf-8"?>
<table xmlns="http://schemas.openxmlformats.org/spreadsheetml/2006/main" id="8" name="Table_8" displayName="Table_8" ref="A4:O24" headerRowCount="0">
  <tableColumns count="15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</tableColumns>
  <tableStyleInfo name="3110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9.xml><?xml version="1.0" encoding="utf-8"?>
<table xmlns="http://schemas.openxmlformats.org/spreadsheetml/2006/main" id="9" name="Table_9" displayName="Table_9" ref="A4:O24" headerRowCount="0">
  <tableColumns count="15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</tableColumns>
  <tableStyleInfo name="3009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6" Type="http://schemas.openxmlformats.org/officeDocument/2006/relationships/table" Target="../tables/table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2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3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4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2"/>
  <sheetViews>
    <sheetView tabSelected="1" topLeftCell="F8" workbookViewId="0">
      <selection activeCell="K10" sqref="K10"/>
    </sheetView>
  </sheetViews>
  <sheetFormatPr defaultColWidth="12.625" defaultRowHeight="15" customHeight="1"/>
  <cols>
    <col min="1" max="1" width="44.75" customWidth="1"/>
    <col min="2" max="10" width="29.5" customWidth="1"/>
    <col min="11" max="11" width="58.625" customWidth="1"/>
    <col min="12" max="25" width="44.875" customWidth="1"/>
  </cols>
  <sheetData>
    <row r="1" spans="1:25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34.5" customHeight="1">
      <c r="A2" s="141" t="s">
        <v>0</v>
      </c>
      <c r="B2" s="143" t="s">
        <v>1</v>
      </c>
      <c r="C2" s="144"/>
      <c r="D2" s="145"/>
      <c r="E2" s="143" t="s">
        <v>2</v>
      </c>
      <c r="F2" s="144"/>
      <c r="G2" s="145"/>
      <c r="H2" s="146" t="s">
        <v>3</v>
      </c>
      <c r="I2" s="144"/>
      <c r="J2" s="145"/>
      <c r="K2" s="147" t="s">
        <v>4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97.5" customHeight="1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72" t="s">
        <v>9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ht="82.5" customHeight="1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2000000000+282312603.74+2325834136.37+8387.5+1218000000</f>
        <v>5826155127.6099997</v>
      </c>
      <c r="J5" s="19">
        <f t="shared" si="2"/>
        <v>5826155127.6099997</v>
      </c>
      <c r="K5" s="173" t="s">
        <v>11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25" ht="209.25" customHeight="1">
      <c r="A6" s="20" t="s">
        <v>12</v>
      </c>
      <c r="B6" s="21">
        <v>2375000000</v>
      </c>
      <c r="C6" s="22">
        <v>125000000</v>
      </c>
      <c r="D6" s="22">
        <f t="shared" si="0"/>
        <v>2500000000</v>
      </c>
      <c r="E6" s="23">
        <v>632222229.26999998</v>
      </c>
      <c r="F6" s="171" t="s">
        <v>13</v>
      </c>
      <c r="G6" s="23">
        <v>2500000000</v>
      </c>
      <c r="H6" s="23">
        <v>1229408851.49</v>
      </c>
      <c r="I6" s="171" t="s">
        <v>14</v>
      </c>
      <c r="J6" s="23">
        <v>3259320827.4000001</v>
      </c>
      <c r="K6" s="172" t="s">
        <v>15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</row>
    <row r="7" spans="1:25" ht="285">
      <c r="A7" s="20" t="s">
        <v>16</v>
      </c>
      <c r="B7" s="21">
        <v>1500000000</v>
      </c>
      <c r="C7" s="16">
        <v>0</v>
      </c>
      <c r="D7" s="17">
        <f t="shared" si="0"/>
        <v>1500000000</v>
      </c>
      <c r="E7" s="23">
        <v>646739875.01411796</v>
      </c>
      <c r="F7" s="23" t="s">
        <v>17</v>
      </c>
      <c r="G7" s="25">
        <v>1500000000</v>
      </c>
      <c r="H7" s="26">
        <v>1027337723.51</v>
      </c>
      <c r="I7" s="23" t="s">
        <v>18</v>
      </c>
      <c r="J7" s="23">
        <v>1955592496.4400001</v>
      </c>
      <c r="K7" s="27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</row>
    <row r="8" spans="1:25" ht="57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</row>
    <row r="9" spans="1:25" ht="313.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f>(1417001073-170000000-400000000)+211773067.2+503338675.12</f>
        <v>1562112815.3200002</v>
      </c>
      <c r="J9" s="17">
        <f t="shared" si="4"/>
        <v>1695111742.3200002</v>
      </c>
      <c r="K9" s="29" t="s">
        <v>23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</row>
    <row r="10" spans="1:25" ht="57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3186964341.8600001</v>
      </c>
      <c r="J10" s="17">
        <f t="shared" si="4"/>
        <v>3186964341.8600001</v>
      </c>
      <c r="K10" s="28" t="s">
        <v>25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1:25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4878901589.63+(3*541384129.09)</f>
        <v>6503053976.8999996</v>
      </c>
      <c r="J11" s="17">
        <f t="shared" si="4"/>
        <v>6503053976.8999996</v>
      </c>
      <c r="K11" s="174" t="s">
        <v>27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spans="1:25" ht="57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4708256871.8800001</v>
      </c>
      <c r="J12" s="17">
        <f t="shared" si="4"/>
        <v>4708256871.8800001</v>
      </c>
      <c r="K12" s="28" t="s">
        <v>29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1:25" ht="28.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176003324.68000001</v>
      </c>
      <c r="I13" s="16">
        <v>0</v>
      </c>
      <c r="J13" s="17">
        <f t="shared" si="4"/>
        <v>176003324.68000001</v>
      </c>
      <c r="K13" s="28" t="s">
        <v>31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ht="57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16">
        <v>473813923.32999998</v>
      </c>
      <c r="J14" s="17">
        <f t="shared" si="4"/>
        <v>473813923.32999998</v>
      </c>
      <c r="K14" s="28" t="s">
        <v>29</v>
      </c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</row>
    <row r="15" spans="1:25" ht="71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174" t="s">
        <v>34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</row>
    <row r="16" spans="1:25" ht="28.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92617940.12+125965326.55</f>
        <v>218583266.67000002</v>
      </c>
      <c r="I16" s="16"/>
      <c r="J16" s="17">
        <f t="shared" si="4"/>
        <v>218583266.67000002</v>
      </c>
      <c r="K16" s="28" t="s">
        <v>36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</row>
    <row r="17" spans="1:25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7314621165.2841177</v>
      </c>
      <c r="F17" s="31">
        <f>SUM(F4:F16)+1867777770.73+853260124.99</f>
        <v>22598038968.720001</v>
      </c>
      <c r="G17" s="31">
        <f t="shared" ref="G17:H17" si="6">SUM(G4:G16)</f>
        <v>29912660134</v>
      </c>
      <c r="H17" s="31">
        <f t="shared" si="6"/>
        <v>8384332093.3500004</v>
      </c>
      <c r="I17" s="31">
        <f>SUM(I4:I16)+2029911975.91+928254772.93</f>
        <v>28777841971.610001</v>
      </c>
      <c r="J17" s="31">
        <f>SUM(J4:J16)</f>
        <v>37162174064.959999</v>
      </c>
      <c r="K17" s="32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</row>
    <row r="18" spans="1:25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3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spans="1:25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3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3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3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1:25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32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</row>
    <row r="23" spans="1:25" ht="15.75" customHeight="1">
      <c r="A23" s="3" t="s">
        <v>43</v>
      </c>
      <c r="B23" s="35">
        <f t="shared" ref="B23:J23" si="11">B17+B22</f>
        <v>17494715379</v>
      </c>
      <c r="C23" s="35">
        <f t="shared" si="11"/>
        <v>20195051950</v>
      </c>
      <c r="D23" s="35">
        <f t="shared" si="11"/>
        <v>37689767329</v>
      </c>
      <c r="E23" s="35">
        <f t="shared" si="11"/>
        <v>13481676410.284119</v>
      </c>
      <c r="F23" s="35">
        <f t="shared" si="11"/>
        <v>24208090918.720001</v>
      </c>
      <c r="G23" s="35">
        <f t="shared" si="11"/>
        <v>37689767329</v>
      </c>
      <c r="H23" s="35">
        <f t="shared" si="11"/>
        <v>14551387338.35</v>
      </c>
      <c r="I23" s="35">
        <f t="shared" si="11"/>
        <v>30387893921.610001</v>
      </c>
      <c r="J23" s="36">
        <f t="shared" si="11"/>
        <v>44939281259.959999</v>
      </c>
      <c r="K23" s="3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spans="1:25" ht="15.75" customHeight="1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8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spans="1:25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spans="1:25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spans="1:25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spans="1:25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spans="1:25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spans="1:25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spans="1:25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spans="1:2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spans="1:25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spans="1:25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25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spans="1:25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spans="1:25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spans="1:25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1:25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</row>
    <row r="44" spans="1:25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spans="1:2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spans="1:25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spans="1:25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spans="1:25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</row>
    <row r="49" spans="1:25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spans="1:25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spans="1:25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spans="1:25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spans="1:25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spans="1:25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spans="1:2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spans="1:25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spans="1:25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spans="1:25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spans="1:25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spans="1:25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spans="1:25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25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25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</row>
    <row r="64" spans="1:25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spans="1:2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spans="1:25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spans="1:25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spans="1:25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spans="1:25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spans="1:25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spans="1:25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spans="1:25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spans="1:25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spans="1:25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spans="1:2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spans="1:25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</row>
    <row r="77" spans="1:25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spans="1:2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spans="1:2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spans="1:2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spans="1:25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spans="1:25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spans="1:25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spans="1:25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spans="1:2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spans="1:25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spans="1:25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</row>
    <row r="88" spans="1:25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spans="1:25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spans="1:25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spans="1:25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spans="1:25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spans="1:25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spans="1:2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spans="1:25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spans="1:25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spans="1:25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</row>
    <row r="99" spans="1:25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spans="1:25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spans="1:2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spans="1:2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spans="1:2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spans="1:25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spans="1:2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spans="1:25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spans="1:25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spans="1:25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spans="1:25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spans="1:25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spans="1:25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spans="1:25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spans="1:25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spans="1:25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spans="1:2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spans="1:25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spans="1:25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spans="1:25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spans="1:25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spans="1:25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spans="1:25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spans="1:25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spans="1:25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spans="1:25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spans="1: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spans="1:2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spans="1:2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spans="1:2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spans="1:2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spans="1:2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spans="1:2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spans="1:2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spans="1:2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spans="1:2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spans="1:2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spans="1:2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spans="1:2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spans="1:2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spans="1:2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spans="1:2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spans="1:2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spans="1:2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spans="1:2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spans="1:2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spans="1:2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spans="1:2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spans="1:2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spans="1:2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spans="1:2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spans="1:2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spans="1:2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spans="1:2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spans="1:2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spans="1:2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spans="1:2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spans="1:2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spans="1:2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spans="1:2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spans="1:2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spans="1:2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spans="1:2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spans="1:2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spans="1:2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spans="1:2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spans="1:2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spans="1:2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spans="1:2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spans="1:2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spans="1:2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spans="1:2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spans="1:2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spans="1:2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spans="1:2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spans="1:2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spans="1:2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spans="1:2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spans="1:2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spans="1:2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spans="1:2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spans="1:2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spans="1:2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spans="1:2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spans="1:2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</row>
    <row r="184" spans="1:2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spans="1:2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spans="1:2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spans="1:2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spans="1:2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spans="1:2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spans="1:2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spans="1:2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spans="1:2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spans="1:2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spans="1:2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spans="1:2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spans="1:2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spans="1:2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spans="1:2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spans="1:2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spans="1:2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spans="1:2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spans="1:2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spans="1:2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spans="1:2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spans="1:2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spans="1:2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spans="1:2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spans="1:2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spans="1:2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spans="1:2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spans="1:2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  <row r="212" spans="1:2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</row>
    <row r="213" spans="1:2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</row>
    <row r="214" spans="1:2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</row>
    <row r="215" spans="1:2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</row>
    <row r="216" spans="1:2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</row>
    <row r="217" spans="1:2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</row>
    <row r="218" spans="1:2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</row>
    <row r="219" spans="1:2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</row>
    <row r="220" spans="1:2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</row>
    <row r="221" spans="1:2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</row>
    <row r="222" spans="1:2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</row>
    <row r="223" spans="1:2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</row>
    <row r="224" spans="1:2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</row>
    <row r="225" spans="1: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</row>
    <row r="226" spans="1:2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</row>
    <row r="227" spans="1:2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</row>
    <row r="228" spans="1:2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</row>
    <row r="229" spans="1:2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</row>
    <row r="230" spans="1:2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</row>
    <row r="231" spans="1:2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</row>
    <row r="232" spans="1:2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</row>
    <row r="233" spans="1:2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</row>
    <row r="234" spans="1:2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</row>
    <row r="235" spans="1:2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</row>
    <row r="236" spans="1:2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</row>
    <row r="237" spans="1:2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</row>
    <row r="238" spans="1:2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</row>
    <row r="239" spans="1:2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</row>
    <row r="240" spans="1:2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</row>
    <row r="241" spans="1:2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</row>
    <row r="242" spans="1:2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</row>
    <row r="243" spans="1:2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</row>
    <row r="244" spans="1:2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</row>
    <row r="245" spans="1:2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</row>
    <row r="246" spans="1:2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</row>
    <row r="247" spans="1:2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</row>
    <row r="248" spans="1:2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</row>
    <row r="249" spans="1:2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</row>
    <row r="250" spans="1:2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</row>
    <row r="251" spans="1:2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</row>
    <row r="252" spans="1:2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</row>
    <row r="253" spans="1:2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</row>
    <row r="254" spans="1:2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</row>
    <row r="255" spans="1:2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</row>
    <row r="256" spans="1:2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</row>
    <row r="512" spans="1:2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</row>
    <row r="513" spans="1:2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</row>
    <row r="514" spans="1:2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</row>
    <row r="515" spans="1:2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</row>
    <row r="516" spans="1:2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</row>
    <row r="517" spans="1:2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</row>
    <row r="518" spans="1:2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</row>
    <row r="519" spans="1:2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</row>
    <row r="520" spans="1:2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</row>
    <row r="521" spans="1:2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</row>
    <row r="522" spans="1:2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</row>
    <row r="523" spans="1:2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</row>
    <row r="524" spans="1:2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</row>
    <row r="525" spans="1: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</row>
    <row r="526" spans="1:2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</row>
    <row r="527" spans="1:2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</row>
    <row r="528" spans="1:2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</row>
    <row r="529" spans="1:2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</row>
    <row r="530" spans="1:2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</row>
    <row r="531" spans="1:2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</row>
    <row r="532" spans="1:2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</row>
    <row r="533" spans="1:2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</row>
    <row r="534" spans="1:2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</row>
    <row r="535" spans="1:2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</row>
    <row r="536" spans="1:2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</row>
    <row r="537" spans="1:2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</row>
    <row r="538" spans="1:2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</row>
    <row r="539" spans="1:2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</row>
    <row r="540" spans="1:2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</row>
    <row r="541" spans="1:2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</row>
    <row r="542" spans="1:2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</row>
    <row r="543" spans="1:2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</row>
    <row r="544" spans="1:2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</row>
    <row r="545" spans="1:2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</row>
    <row r="546" spans="1:2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</row>
    <row r="547" spans="1:2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</row>
    <row r="548" spans="1:2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</row>
    <row r="549" spans="1:2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</row>
    <row r="550" spans="1:2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</row>
    <row r="551" spans="1:2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</row>
    <row r="552" spans="1:2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</row>
    <row r="553" spans="1:2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</row>
    <row r="554" spans="1:2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</row>
    <row r="555" spans="1:2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</row>
    <row r="556" spans="1:2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</row>
    <row r="557" spans="1:2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</row>
    <row r="558" spans="1:2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</row>
    <row r="559" spans="1:2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</row>
    <row r="560" spans="1:2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</row>
    <row r="561" spans="1:2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</row>
    <row r="562" spans="1:2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</row>
    <row r="563" spans="1:2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</row>
    <row r="564" spans="1:2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</row>
    <row r="565" spans="1:2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</row>
    <row r="566" spans="1:2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</row>
    <row r="567" spans="1:2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</row>
    <row r="568" spans="1:2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</row>
    <row r="569" spans="1:2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</row>
    <row r="570" spans="1:2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</row>
    <row r="571" spans="1:2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</row>
    <row r="572" spans="1:2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</row>
    <row r="573" spans="1:2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</row>
    <row r="574" spans="1:2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</row>
    <row r="575" spans="1:2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</row>
    <row r="576" spans="1:2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</row>
    <row r="577" spans="1:2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</row>
    <row r="578" spans="1:2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</row>
    <row r="579" spans="1:2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</row>
    <row r="580" spans="1:2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</row>
    <row r="581" spans="1:2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</row>
    <row r="582" spans="1:2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</row>
    <row r="583" spans="1:2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</row>
    <row r="584" spans="1:2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</row>
    <row r="585" spans="1:2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</row>
    <row r="586" spans="1:2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</row>
    <row r="587" spans="1:2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</row>
    <row r="588" spans="1:2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</row>
    <row r="589" spans="1:2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</row>
    <row r="590" spans="1:2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</row>
    <row r="591" spans="1:2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</row>
    <row r="592" spans="1:2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</row>
    <row r="593" spans="1:2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</row>
    <row r="594" spans="1:2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</row>
    <row r="595" spans="1:2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</row>
    <row r="596" spans="1:2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</row>
    <row r="597" spans="1:2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</row>
    <row r="598" spans="1:2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</row>
    <row r="599" spans="1:2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</row>
    <row r="600" spans="1:2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</row>
    <row r="601" spans="1:2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</row>
    <row r="602" spans="1:2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</row>
    <row r="603" spans="1:2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</row>
    <row r="604" spans="1:2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</row>
    <row r="605" spans="1:2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</row>
    <row r="606" spans="1:2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</row>
    <row r="607" spans="1:2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</row>
    <row r="608" spans="1:2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</row>
    <row r="609" spans="1:2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</row>
    <row r="610" spans="1:2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</row>
    <row r="611" spans="1:2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</row>
    <row r="612" spans="1:2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</row>
    <row r="613" spans="1:2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</row>
    <row r="614" spans="1:2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</row>
    <row r="615" spans="1:2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</row>
    <row r="616" spans="1:2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</row>
    <row r="617" spans="1:2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</row>
    <row r="618" spans="1:2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</row>
    <row r="619" spans="1:2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</row>
    <row r="620" spans="1:2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</row>
    <row r="621" spans="1:2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</row>
    <row r="622" spans="1:2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</row>
    <row r="623" spans="1:2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</row>
    <row r="624" spans="1:2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</row>
    <row r="625" spans="1: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</row>
    <row r="626" spans="1:2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</row>
    <row r="627" spans="1:2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</row>
    <row r="628" spans="1:2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</row>
    <row r="629" spans="1:2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</row>
    <row r="630" spans="1:2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</row>
    <row r="631" spans="1:2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</row>
    <row r="632" spans="1:2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</row>
    <row r="633" spans="1:2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</row>
    <row r="634" spans="1:2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</row>
    <row r="635" spans="1:2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</row>
    <row r="636" spans="1:2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</row>
    <row r="637" spans="1:2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</row>
    <row r="638" spans="1:2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</row>
    <row r="639" spans="1:2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</row>
    <row r="640" spans="1:2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</row>
    <row r="641" spans="1:2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</row>
    <row r="642" spans="1:2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</row>
    <row r="643" spans="1:2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</row>
    <row r="644" spans="1:2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</row>
    <row r="645" spans="1:2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</row>
    <row r="646" spans="1:2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</row>
    <row r="647" spans="1:2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</row>
    <row r="648" spans="1:2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</row>
    <row r="649" spans="1:2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</row>
    <row r="650" spans="1:2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</row>
    <row r="651" spans="1:2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</row>
    <row r="652" spans="1:2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</row>
    <row r="653" spans="1:2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</row>
    <row r="654" spans="1:2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</row>
    <row r="655" spans="1:2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</row>
    <row r="656" spans="1:2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</row>
    <row r="657" spans="1:2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</row>
    <row r="658" spans="1:2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</row>
    <row r="659" spans="1:2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</row>
    <row r="660" spans="1:2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</row>
    <row r="661" spans="1:2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</row>
    <row r="662" spans="1:2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</row>
    <row r="663" spans="1:2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</row>
    <row r="664" spans="1:2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</row>
    <row r="665" spans="1:2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</row>
    <row r="666" spans="1:2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</row>
    <row r="667" spans="1:2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</row>
    <row r="668" spans="1:2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</row>
    <row r="669" spans="1:2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</row>
    <row r="670" spans="1:2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</row>
    <row r="671" spans="1:2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</row>
    <row r="672" spans="1:2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</row>
    <row r="673" spans="1:2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</row>
    <row r="674" spans="1:2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</row>
    <row r="675" spans="1:2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</row>
    <row r="676" spans="1:2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</row>
    <row r="677" spans="1:2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</row>
    <row r="678" spans="1:2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</row>
    <row r="679" spans="1:2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</row>
    <row r="680" spans="1:2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</row>
    <row r="681" spans="1:2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</row>
    <row r="682" spans="1:2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</row>
    <row r="683" spans="1:2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</row>
    <row r="684" spans="1:2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</row>
    <row r="685" spans="1:2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</row>
    <row r="686" spans="1:2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</row>
    <row r="687" spans="1:2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</row>
    <row r="688" spans="1:2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</row>
    <row r="689" spans="1:2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</row>
    <row r="690" spans="1:2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</row>
    <row r="691" spans="1:2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</row>
    <row r="692" spans="1:2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</row>
    <row r="693" spans="1:2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</row>
    <row r="694" spans="1:2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</row>
    <row r="695" spans="1:2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</row>
    <row r="696" spans="1:2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</row>
    <row r="697" spans="1:2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</row>
    <row r="698" spans="1:2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</row>
    <row r="699" spans="1:2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</row>
    <row r="700" spans="1:2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</row>
    <row r="701" spans="1:2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</row>
    <row r="702" spans="1:2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</row>
    <row r="703" spans="1:2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</row>
    <row r="704" spans="1:2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</row>
    <row r="705" spans="1:2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</row>
    <row r="706" spans="1:2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</row>
    <row r="707" spans="1:2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</row>
    <row r="708" spans="1:2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</row>
    <row r="709" spans="1:2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</row>
    <row r="710" spans="1:2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</row>
    <row r="711" spans="1:2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</row>
    <row r="712" spans="1:2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</row>
    <row r="713" spans="1:2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</row>
    <row r="714" spans="1:2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</row>
    <row r="715" spans="1:2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</row>
    <row r="716" spans="1:2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</row>
    <row r="717" spans="1:2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</row>
    <row r="718" spans="1:2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</row>
    <row r="719" spans="1:2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</row>
    <row r="720" spans="1:2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</row>
    <row r="721" spans="1:2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</row>
    <row r="722" spans="1:2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</row>
    <row r="723" spans="1:2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</row>
    <row r="724" spans="1:2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</row>
    <row r="725" spans="1: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</row>
    <row r="726" spans="1:2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</row>
    <row r="727" spans="1:2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</row>
    <row r="728" spans="1:2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</row>
    <row r="729" spans="1:2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</row>
    <row r="730" spans="1:2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</row>
    <row r="731" spans="1:2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</row>
    <row r="732" spans="1:2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</row>
    <row r="733" spans="1:2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</row>
    <row r="734" spans="1:2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</row>
    <row r="735" spans="1:2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</row>
    <row r="736" spans="1:2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</row>
    <row r="737" spans="1:2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</row>
    <row r="738" spans="1:2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</row>
    <row r="739" spans="1:2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</row>
    <row r="740" spans="1:2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</row>
    <row r="741" spans="1:2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</row>
    <row r="742" spans="1:2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</row>
    <row r="743" spans="1:2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</row>
    <row r="744" spans="1:2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</row>
    <row r="745" spans="1:2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</row>
    <row r="746" spans="1:2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</row>
    <row r="747" spans="1:2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</row>
    <row r="748" spans="1:2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</row>
    <row r="749" spans="1:2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</row>
    <row r="750" spans="1:2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</row>
    <row r="751" spans="1:2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</row>
    <row r="752" spans="1:2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</row>
    <row r="753" spans="1:2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</row>
    <row r="754" spans="1:2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</row>
    <row r="755" spans="1:2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</row>
    <row r="756" spans="1:2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</row>
    <row r="757" spans="1:2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</row>
    <row r="758" spans="1:2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</row>
    <row r="759" spans="1:2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</row>
    <row r="760" spans="1:2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</row>
    <row r="761" spans="1:2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</row>
    <row r="762" spans="1:2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</row>
    <row r="763" spans="1:2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</row>
    <row r="764" spans="1:2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</row>
    <row r="765" spans="1:2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</row>
    <row r="766" spans="1:2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</row>
    <row r="767" spans="1:2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</row>
    <row r="768" spans="1:2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</row>
    <row r="769" spans="1:2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</row>
    <row r="770" spans="1:2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</row>
    <row r="771" spans="1:2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</row>
    <row r="772" spans="1:2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</row>
    <row r="773" spans="1:2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</row>
    <row r="774" spans="1:2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</row>
    <row r="775" spans="1:2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</row>
    <row r="776" spans="1:2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</row>
    <row r="777" spans="1:2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</row>
    <row r="778" spans="1:2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</row>
    <row r="779" spans="1:2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</row>
    <row r="780" spans="1:2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</row>
    <row r="781" spans="1:2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</row>
    <row r="782" spans="1:2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</row>
    <row r="783" spans="1:2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</row>
    <row r="784" spans="1:2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</row>
    <row r="785" spans="1:2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</row>
    <row r="786" spans="1:2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</row>
    <row r="787" spans="1:2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</row>
    <row r="788" spans="1:2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</row>
    <row r="789" spans="1:2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</row>
    <row r="790" spans="1:2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</row>
    <row r="791" spans="1:2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</row>
    <row r="792" spans="1:2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</row>
    <row r="793" spans="1:2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</row>
    <row r="794" spans="1:2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</row>
    <row r="795" spans="1:2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</row>
    <row r="796" spans="1:2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</row>
    <row r="797" spans="1:2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</row>
    <row r="798" spans="1:2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</row>
    <row r="799" spans="1:2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</row>
    <row r="800" spans="1:2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</row>
    <row r="801" spans="1:2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</row>
    <row r="802" spans="1:2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</row>
    <row r="803" spans="1:2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</row>
    <row r="804" spans="1:2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</row>
    <row r="805" spans="1:2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</row>
    <row r="806" spans="1:2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</row>
    <row r="807" spans="1:2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</row>
    <row r="808" spans="1:2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</row>
    <row r="809" spans="1:2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</row>
    <row r="810" spans="1:2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</row>
    <row r="811" spans="1:2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</row>
    <row r="812" spans="1:2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</row>
    <row r="813" spans="1:2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</row>
    <row r="814" spans="1:2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</row>
    <row r="815" spans="1:2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</row>
    <row r="816" spans="1:2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</row>
    <row r="817" spans="1:2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</row>
    <row r="818" spans="1:2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</row>
    <row r="819" spans="1:2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</row>
    <row r="820" spans="1:2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</row>
    <row r="821" spans="1:2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</row>
    <row r="822" spans="1:2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</row>
    <row r="823" spans="1:2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</row>
    <row r="824" spans="1:2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</row>
    <row r="825" spans="1: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</row>
    <row r="826" spans="1:2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</row>
    <row r="827" spans="1:2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</row>
    <row r="828" spans="1:2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</row>
    <row r="829" spans="1:2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</row>
    <row r="830" spans="1:2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</row>
    <row r="831" spans="1:2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</row>
    <row r="832" spans="1:2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</row>
    <row r="833" spans="1:2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</row>
    <row r="834" spans="1:2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</row>
    <row r="835" spans="1:2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</row>
    <row r="836" spans="1:2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</row>
    <row r="837" spans="1:2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</row>
    <row r="838" spans="1:2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</row>
    <row r="839" spans="1:2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</row>
    <row r="840" spans="1:2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</row>
    <row r="841" spans="1:2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</row>
    <row r="842" spans="1:2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</row>
    <row r="843" spans="1:2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</row>
    <row r="844" spans="1:2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</row>
    <row r="845" spans="1:2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</row>
    <row r="846" spans="1:2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</row>
    <row r="847" spans="1:2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</row>
    <row r="848" spans="1:2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</row>
    <row r="849" spans="1:2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</row>
    <row r="850" spans="1:2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</row>
    <row r="851" spans="1:2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</row>
    <row r="852" spans="1:2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</row>
    <row r="853" spans="1:2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</row>
    <row r="854" spans="1:2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</row>
    <row r="855" spans="1:2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</row>
    <row r="856" spans="1:2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</row>
    <row r="857" spans="1:2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</row>
    <row r="858" spans="1:2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</row>
    <row r="859" spans="1:2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</row>
    <row r="860" spans="1:2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</row>
    <row r="861" spans="1:2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</row>
    <row r="862" spans="1:2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</row>
    <row r="863" spans="1:2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</row>
    <row r="864" spans="1:2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</row>
    <row r="865" spans="1:2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</row>
    <row r="866" spans="1:2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</row>
    <row r="867" spans="1:2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</row>
    <row r="868" spans="1:2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</row>
    <row r="869" spans="1:2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</row>
    <row r="870" spans="1:2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</row>
    <row r="871" spans="1:2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</row>
    <row r="872" spans="1:2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</row>
    <row r="873" spans="1:2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</row>
    <row r="874" spans="1:2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</row>
    <row r="875" spans="1:2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</row>
    <row r="876" spans="1:2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</row>
    <row r="877" spans="1:2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</row>
    <row r="878" spans="1:2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</row>
    <row r="879" spans="1:2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</row>
    <row r="880" spans="1:2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</row>
    <row r="881" spans="1:2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</row>
    <row r="882" spans="1:2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</row>
    <row r="883" spans="1:2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</row>
    <row r="884" spans="1:2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</row>
    <row r="885" spans="1:2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</row>
    <row r="886" spans="1:2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</row>
    <row r="887" spans="1:2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</row>
    <row r="888" spans="1:2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</row>
    <row r="889" spans="1:2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</row>
    <row r="890" spans="1:2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</row>
    <row r="891" spans="1:2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</row>
    <row r="892" spans="1:2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</row>
    <row r="893" spans="1:2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</row>
    <row r="894" spans="1:2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</row>
    <row r="895" spans="1:2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</row>
    <row r="896" spans="1:2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</row>
    <row r="897" spans="1:2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</row>
    <row r="898" spans="1:2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</row>
    <row r="899" spans="1:2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</row>
    <row r="900" spans="1:2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</row>
    <row r="901" spans="1:2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</row>
    <row r="902" spans="1:2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</row>
    <row r="903" spans="1:2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</row>
    <row r="904" spans="1:2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</row>
    <row r="905" spans="1:2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</row>
    <row r="906" spans="1:2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</row>
    <row r="907" spans="1:2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</row>
    <row r="908" spans="1:2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</row>
    <row r="909" spans="1:2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</row>
    <row r="910" spans="1:2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</row>
    <row r="911" spans="1:2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</row>
    <row r="912" spans="1:2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</row>
    <row r="913" spans="1:2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</row>
    <row r="914" spans="1:2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</row>
    <row r="915" spans="1:2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</row>
    <row r="916" spans="1:2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</row>
    <row r="917" spans="1:2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</row>
    <row r="918" spans="1:2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</row>
    <row r="919" spans="1:2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</row>
    <row r="920" spans="1:2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</row>
    <row r="921" spans="1:2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</row>
    <row r="922" spans="1:2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</row>
    <row r="923" spans="1:2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</row>
    <row r="924" spans="1:2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</row>
    <row r="925" spans="1: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</row>
    <row r="926" spans="1:2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</row>
    <row r="927" spans="1:2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</row>
    <row r="928" spans="1:2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</row>
    <row r="929" spans="1:2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</row>
    <row r="930" spans="1:2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</row>
    <row r="931" spans="1:2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</row>
    <row r="932" spans="1:2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</row>
    <row r="933" spans="1:2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</row>
    <row r="934" spans="1:2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</row>
    <row r="935" spans="1:2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</row>
    <row r="936" spans="1:2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</row>
    <row r="937" spans="1:2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</row>
    <row r="938" spans="1:2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</row>
    <row r="939" spans="1:2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</row>
    <row r="940" spans="1:2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</row>
    <row r="941" spans="1:2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</row>
    <row r="942" spans="1:2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</row>
    <row r="943" spans="1:2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</row>
    <row r="944" spans="1:2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</row>
    <row r="945" spans="1:2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</row>
    <row r="946" spans="1:2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</row>
    <row r="947" spans="1:2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</row>
    <row r="948" spans="1:2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</row>
    <row r="949" spans="1:2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</row>
    <row r="950" spans="1:2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</row>
    <row r="951" spans="1:2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</row>
    <row r="952" spans="1:2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</row>
    <row r="953" spans="1:2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</row>
    <row r="954" spans="1:2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</row>
    <row r="955" spans="1:2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</row>
    <row r="956" spans="1:2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</row>
    <row r="957" spans="1:2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</row>
    <row r="958" spans="1:2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</row>
    <row r="959" spans="1:2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</row>
    <row r="960" spans="1:2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</row>
    <row r="961" spans="1:2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</row>
    <row r="962" spans="1:2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</row>
    <row r="963" spans="1:2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</row>
    <row r="964" spans="1:2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</row>
    <row r="965" spans="1:2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</row>
    <row r="966" spans="1:2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</row>
    <row r="967" spans="1:2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</row>
    <row r="968" spans="1:2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</row>
    <row r="969" spans="1:2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</row>
    <row r="970" spans="1:2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</row>
    <row r="971" spans="1:2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</row>
    <row r="972" spans="1:2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</row>
    <row r="973" spans="1:2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</row>
    <row r="974" spans="1:2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</row>
    <row r="975" spans="1:2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</row>
    <row r="976" spans="1:2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</row>
    <row r="977" spans="1:2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</row>
    <row r="978" spans="1:2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</row>
    <row r="979" spans="1:2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</row>
    <row r="980" spans="1:2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</row>
    <row r="981" spans="1:2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</row>
    <row r="982" spans="1:2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</row>
    <row r="983" spans="1:2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</row>
    <row r="984" spans="1:2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</row>
    <row r="985" spans="1:2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</row>
    <row r="986" spans="1:2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</row>
    <row r="987" spans="1:2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</row>
    <row r="988" spans="1:2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</row>
    <row r="989" spans="1:2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</row>
    <row r="990" spans="1:2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</row>
    <row r="991" spans="1:2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</row>
    <row r="992" spans="1:2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</row>
    <row r="993" spans="1:2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</row>
    <row r="994" spans="1:2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</row>
    <row r="995" spans="1:2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</row>
    <row r="996" spans="1:2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</row>
    <row r="997" spans="1:2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</row>
    <row r="998" spans="1:2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</row>
    <row r="999" spans="1:2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</row>
    <row r="1000" spans="1:2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</row>
    <row r="1001" spans="1:25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</row>
    <row r="1002" spans="1:25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</row>
  </sheetData>
  <mergeCells count="5">
    <mergeCell ref="A2:A3"/>
    <mergeCell ref="B2:D2"/>
    <mergeCell ref="E2:G2"/>
    <mergeCell ref="H2:J2"/>
    <mergeCell ref="K2:K3"/>
  </mergeCells>
  <hyperlinks>
    <hyperlink ref="K5" r:id="rId1"/>
    <hyperlink ref="K6" r:id="rId2"/>
    <hyperlink ref="K7" r:id="rId3"/>
    <hyperlink ref="K9" r:id="rId4"/>
  </hyperlinks>
  <pageMargins left="0.511811024" right="0.511811024" top="0.78740157499999996" bottom="0.78740157499999996" header="0.31496062000000002" footer="0.31496062000000002"/>
  <pageSetup paperSize="9" orientation="portrait" r:id="rId5"/>
  <tableParts count="1">
    <tablePart r:id="rId6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8.25" customWidth="1"/>
    <col min="11" max="11" width="40.375" customWidth="1"/>
    <col min="12" max="12" width="23.5" customWidth="1"/>
    <col min="13" max="13" width="18.125" customWidth="1"/>
    <col min="14" max="14" width="16.75" customWidth="1"/>
    <col min="15" max="15" width="10.625" customWidth="1"/>
    <col min="16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1" t="s">
        <v>0</v>
      </c>
      <c r="B2" s="143" t="s">
        <v>1</v>
      </c>
      <c r="C2" s="144"/>
      <c r="D2" s="145"/>
      <c r="E2" s="143" t="s">
        <v>137</v>
      </c>
      <c r="F2" s="144"/>
      <c r="G2" s="145"/>
      <c r="H2" s="146" t="s">
        <v>138</v>
      </c>
      <c r="I2" s="144"/>
      <c r="J2" s="145"/>
      <c r="K2" s="147" t="s">
        <v>4</v>
      </c>
      <c r="L2" s="148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14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3" t="s">
        <v>9</v>
      </c>
      <c r="L4" s="43" t="s">
        <v>100</v>
      </c>
      <c r="M4" s="43"/>
      <c r="N4" s="43"/>
      <c r="O4" s="43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2000000000+282312603.74+2325834136.37+8387.5+1068000000</f>
        <v>5676155127.6099997</v>
      </c>
      <c r="J5" s="19">
        <f t="shared" si="2"/>
        <v>5676155127.6099997</v>
      </c>
      <c r="K5" s="60" t="s">
        <v>139</v>
      </c>
      <c r="L5" s="43" t="s">
        <v>100</v>
      </c>
      <c r="M5" s="43"/>
      <c r="N5" s="43"/>
      <c r="O5" s="43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 ht="14.25">
      <c r="A6" s="15" t="s">
        <v>12</v>
      </c>
      <c r="B6" s="21">
        <v>2375000000</v>
      </c>
      <c r="C6" s="22">
        <v>125000000</v>
      </c>
      <c r="D6" s="22">
        <f t="shared" si="0"/>
        <v>2500000000</v>
      </c>
      <c r="E6" s="45">
        <v>783086225.48000002</v>
      </c>
      <c r="F6" s="45" t="s">
        <v>140</v>
      </c>
      <c r="G6" s="45">
        <v>2500000000</v>
      </c>
      <c r="H6" s="45">
        <v>1324564042.02</v>
      </c>
      <c r="I6" s="45" t="s">
        <v>141</v>
      </c>
      <c r="J6" s="19">
        <v>3121071500.0700002</v>
      </c>
      <c r="K6" s="45" t="s">
        <v>90</v>
      </c>
      <c r="L6" s="43" t="s">
        <v>100</v>
      </c>
      <c r="M6" s="43"/>
      <c r="N6" s="43"/>
      <c r="O6" s="4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128.25">
      <c r="A7" s="15" t="s">
        <v>16</v>
      </c>
      <c r="B7" s="21">
        <v>1500000000</v>
      </c>
      <c r="C7" s="16">
        <v>0</v>
      </c>
      <c r="D7" s="17">
        <f t="shared" si="0"/>
        <v>1500000000</v>
      </c>
      <c r="E7" s="45">
        <v>766739875.00999999</v>
      </c>
      <c r="F7" s="45" t="s">
        <v>92</v>
      </c>
      <c r="G7" s="17">
        <v>1500000000</v>
      </c>
      <c r="H7" s="17">
        <v>1101520300.51</v>
      </c>
      <c r="I7" s="45" t="s">
        <v>142</v>
      </c>
      <c r="J7" s="17">
        <v>1872642900.04</v>
      </c>
      <c r="K7" s="28" t="s">
        <v>94</v>
      </c>
      <c r="L7" s="43" t="s">
        <v>100</v>
      </c>
      <c r="M7" s="43"/>
      <c r="N7" s="43"/>
      <c r="O7" s="43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85.5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43" t="s">
        <v>100</v>
      </c>
      <c r="M8" s="43"/>
      <c r="N8" s="43"/>
      <c r="O8" s="43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 ht="14.2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f>211773067.2+1247001073</f>
        <v>1458774140.2</v>
      </c>
      <c r="J9" s="17">
        <f t="shared" si="4"/>
        <v>1591773067.2</v>
      </c>
      <c r="K9" s="28" t="s">
        <v>134</v>
      </c>
      <c r="L9" s="43" t="s">
        <v>100</v>
      </c>
      <c r="M9" s="43"/>
      <c r="N9" s="43"/>
      <c r="O9" s="43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 ht="71.25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2936910903.5500002</v>
      </c>
      <c r="J10" s="17">
        <f t="shared" si="4"/>
        <v>2936910903.5500002</v>
      </c>
      <c r="K10" s="28" t="s">
        <v>25</v>
      </c>
      <c r="L10" s="43" t="s">
        <v>100</v>
      </c>
      <c r="M10" s="43"/>
      <c r="N10" s="43"/>
      <c r="O10" s="43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3627331328.18+(5*518269874.82)</f>
        <v>6218680702.2799997</v>
      </c>
      <c r="J11" s="17">
        <f t="shared" si="4"/>
        <v>6218680702.2799997</v>
      </c>
      <c r="K11" s="28" t="s">
        <v>27</v>
      </c>
      <c r="L11" s="43" t="s">
        <v>100</v>
      </c>
      <c r="M11" s="43"/>
      <c r="N11" s="43"/>
      <c r="O11" s="43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</row>
    <row r="12" spans="1:29" ht="71.25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4516107832.1899996</v>
      </c>
      <c r="J12" s="17">
        <f t="shared" si="4"/>
        <v>4516107832.1899996</v>
      </c>
      <c r="K12" s="28" t="s">
        <v>29</v>
      </c>
      <c r="L12" s="43" t="s">
        <v>100</v>
      </c>
      <c r="M12" s="43"/>
      <c r="N12" s="43"/>
      <c r="O12" s="43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</row>
    <row r="13" spans="1:29" ht="42.7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168537861</v>
      </c>
      <c r="I13" s="16">
        <v>0</v>
      </c>
      <c r="J13" s="17">
        <f t="shared" si="4"/>
        <v>168537861</v>
      </c>
      <c r="K13" s="28" t="s">
        <v>143</v>
      </c>
      <c r="L13" s="43" t="s">
        <v>100</v>
      </c>
      <c r="M13" s="43"/>
      <c r="N13" s="43"/>
      <c r="O13" s="43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1:29" ht="71.25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16">
        <v>439853434.13999999</v>
      </c>
      <c r="J14" s="17">
        <f t="shared" si="4"/>
        <v>439853434.13999999</v>
      </c>
      <c r="K14" s="28" t="s">
        <v>29</v>
      </c>
      <c r="L14" s="43" t="s">
        <v>100</v>
      </c>
      <c r="M14" s="43"/>
      <c r="N14" s="43"/>
      <c r="O14" s="43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1:29" ht="14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28" t="s">
        <v>144</v>
      </c>
      <c r="L15" s="43" t="s">
        <v>100</v>
      </c>
      <c r="M15" s="43"/>
      <c r="N15" s="43"/>
      <c r="O15" s="4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</row>
    <row r="16" spans="1:29" ht="42.7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88689401.44+120622304.93</f>
        <v>209311706.37</v>
      </c>
      <c r="I16" s="16"/>
      <c r="J16" s="17">
        <f t="shared" si="4"/>
        <v>209311706.37</v>
      </c>
      <c r="K16" s="28" t="s">
        <v>143</v>
      </c>
      <c r="L16" s="43" t="s">
        <v>100</v>
      </c>
      <c r="M16" s="43"/>
      <c r="N16" s="43"/>
      <c r="O16" s="43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1:29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7585485161.4899998</v>
      </c>
      <c r="F17" s="31">
        <f>SUM(F4:F16)+1716913774.52+733260124.99</f>
        <v>22327174972.510002</v>
      </c>
      <c r="G17" s="31">
        <f t="shared" ref="G17:H17" si="6">SUM(G4:G16)</f>
        <v>29912660134</v>
      </c>
      <c r="H17" s="31">
        <f t="shared" si="6"/>
        <v>8536932836.8999996</v>
      </c>
      <c r="I17" s="31">
        <f>SUM(I4:I16)+1796507458.05+771122599.53</f>
        <v>27373430363.419994</v>
      </c>
      <c r="J17" s="31">
        <f>SUM(J4:J16)</f>
        <v>35910363200.32</v>
      </c>
      <c r="K17" s="50"/>
      <c r="L17" s="43" t="s">
        <v>100</v>
      </c>
      <c r="M17" s="51"/>
      <c r="N17" s="51"/>
      <c r="O17" s="52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</row>
    <row r="18" spans="1:29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17"/>
      <c r="L18" s="43" t="s">
        <v>100</v>
      </c>
      <c r="M18" s="43"/>
      <c r="N18" s="43"/>
      <c r="O18" s="43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17"/>
      <c r="L19" s="43" t="s">
        <v>100</v>
      </c>
      <c r="M19" s="43"/>
      <c r="N19" s="43"/>
      <c r="O19" s="43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1:29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17"/>
      <c r="L20" s="43" t="s">
        <v>100</v>
      </c>
      <c r="M20" s="43"/>
      <c r="N20" s="43"/>
      <c r="O20" s="43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17"/>
      <c r="L21" s="43" t="s">
        <v>100</v>
      </c>
      <c r="M21" s="43"/>
      <c r="N21" s="43"/>
      <c r="O21" s="43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</row>
    <row r="22" spans="1:29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50"/>
      <c r="L22" s="43" t="s">
        <v>100</v>
      </c>
      <c r="M22" s="51"/>
      <c r="N22" s="51"/>
      <c r="O22" s="51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</row>
    <row r="23" spans="1:29" ht="15.75" customHeight="1">
      <c r="A23" s="54" t="s">
        <v>43</v>
      </c>
      <c r="B23" s="55">
        <f t="shared" ref="B23:J23" si="11">B17+B22</f>
        <v>17494715379</v>
      </c>
      <c r="C23" s="55">
        <f t="shared" si="11"/>
        <v>20195051950</v>
      </c>
      <c r="D23" s="55">
        <f t="shared" si="11"/>
        <v>37689767329</v>
      </c>
      <c r="E23" s="55">
        <f t="shared" si="11"/>
        <v>13752540406.49</v>
      </c>
      <c r="F23" s="55">
        <f t="shared" si="11"/>
        <v>23937226922.510002</v>
      </c>
      <c r="G23" s="55">
        <f t="shared" si="11"/>
        <v>37689767329</v>
      </c>
      <c r="H23" s="55">
        <f t="shared" si="11"/>
        <v>14703988081.9</v>
      </c>
      <c r="I23" s="55">
        <f t="shared" si="11"/>
        <v>28983482313.419994</v>
      </c>
      <c r="J23" s="55">
        <f t="shared" si="11"/>
        <v>43687470395.32</v>
      </c>
      <c r="K23" s="17"/>
      <c r="L23" s="43" t="s">
        <v>100</v>
      </c>
      <c r="M23" s="43"/>
      <c r="N23" s="43"/>
      <c r="O23" s="43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58"/>
      <c r="M24" s="58"/>
      <c r="N24" s="58"/>
      <c r="O24" s="58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1:29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59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59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59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59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59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59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59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59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9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59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9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9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9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9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9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9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9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9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9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9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9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9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9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59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59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59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59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59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59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59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59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59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59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59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59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59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59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59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59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59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59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59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59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59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59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59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59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59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59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59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59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59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59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59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59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59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59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59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59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59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59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59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59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59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59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59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59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59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59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59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59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59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59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59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59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59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59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59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59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59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59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59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59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59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59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59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59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59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59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59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59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59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59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59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59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59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59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59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59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59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59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59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59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59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59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59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59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59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59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59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59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59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59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59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59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59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59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59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59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59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59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59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59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59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59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59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59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59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59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59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59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59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59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59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59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59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59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59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59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59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59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59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59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59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59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59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59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59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59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59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59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59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59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59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59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59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59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59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59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59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59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59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59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59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59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59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59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59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59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59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59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59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59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59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59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59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59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59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59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59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59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59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59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59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59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59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59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59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59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59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59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59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59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59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59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59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59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59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59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59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59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59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59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59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59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59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59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59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59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59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59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59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59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59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59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59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59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59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59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59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59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59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59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59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59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59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59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59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59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59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59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59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59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59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59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59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59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59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59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59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59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59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59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59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59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59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59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59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59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59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59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59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59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59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59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59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59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59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59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59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59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59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59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59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59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59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59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59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59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59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59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59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59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59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59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59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59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59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59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59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59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59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59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59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59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59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59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59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59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59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59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59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59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59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59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59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59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59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59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59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59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59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59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59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59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59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59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59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59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59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59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59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59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59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59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59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59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59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59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59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59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59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59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59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59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59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59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59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59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59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59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59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59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59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59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59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59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59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59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59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59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59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59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59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59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59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59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59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59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59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59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59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59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59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59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59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59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59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59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59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59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59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59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59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59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59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59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59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59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59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59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59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59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59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59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59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59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59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59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59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59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59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59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59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59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59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59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59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59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59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59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59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59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59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59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59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59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59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59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59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59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59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59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59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59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59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59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59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59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59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59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59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59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59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59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59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59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59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59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59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59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59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59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59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59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59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59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59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59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59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59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59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59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59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59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59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59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59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59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59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59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59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59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59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59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59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59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59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59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59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59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59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59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59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59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59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59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59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59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59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59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59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59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59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59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59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59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59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59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59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59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59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59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59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59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59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59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59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59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59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59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59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59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59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59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59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59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59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59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59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59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59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59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59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59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59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59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59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59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59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59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59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59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59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59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59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59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59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59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59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59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59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59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59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59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59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59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59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59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59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59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59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59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59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59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59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59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59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59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59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59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59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59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59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59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59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59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59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59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59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59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59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59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59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59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59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59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59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59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59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59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59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59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59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59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59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59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59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59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59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59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59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59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59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59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59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59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59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59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59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59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59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59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59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59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59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59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59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59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59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59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59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59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59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59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59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59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59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59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59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59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59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59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59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59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59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59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59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59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59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59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59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59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59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59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59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59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59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59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59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59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59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59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59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59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59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59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59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59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59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59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59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59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59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59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59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59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59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59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59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59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59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59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59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59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59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59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59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59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59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59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59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59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59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59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59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59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59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59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59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59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59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59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59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59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59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59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59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59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59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59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59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59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59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59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59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59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59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59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59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59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59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59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59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59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59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59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59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59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59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59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59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59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59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59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59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59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59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59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59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59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59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59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59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59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59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59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59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59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59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59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59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59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59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59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59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59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59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59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59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59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59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59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59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59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59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59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59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59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59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59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59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59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59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59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59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59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59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59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59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59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59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59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59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</row>
  </sheetData>
  <mergeCells count="6">
    <mergeCell ref="L2:L3"/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8.25" customWidth="1"/>
    <col min="11" max="11" width="40.375" customWidth="1"/>
    <col min="12" max="12" width="23.5" customWidth="1"/>
    <col min="13" max="13" width="18.125" customWidth="1"/>
    <col min="14" max="14" width="16.75" customWidth="1"/>
    <col min="15" max="15" width="10.625" customWidth="1"/>
    <col min="16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1" t="s">
        <v>0</v>
      </c>
      <c r="B2" s="143" t="s">
        <v>1</v>
      </c>
      <c r="C2" s="144"/>
      <c r="D2" s="145"/>
      <c r="E2" s="143" t="s">
        <v>145</v>
      </c>
      <c r="F2" s="144"/>
      <c r="G2" s="145"/>
      <c r="H2" s="146" t="s">
        <v>146</v>
      </c>
      <c r="I2" s="144"/>
      <c r="J2" s="145"/>
      <c r="K2" s="147" t="s">
        <v>4</v>
      </c>
      <c r="L2" s="148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14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3" t="s">
        <v>9</v>
      </c>
      <c r="L4" s="43" t="s">
        <v>100</v>
      </c>
      <c r="M4" s="43"/>
      <c r="N4" s="43"/>
      <c r="O4" s="43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2000000000+282312603.74+2325834136.37+8387.5+1046000000</f>
        <v>5654155127.6099997</v>
      </c>
      <c r="J5" s="19">
        <f t="shared" si="2"/>
        <v>5654155127.6099997</v>
      </c>
      <c r="K5" s="60" t="s">
        <v>147</v>
      </c>
      <c r="L5" s="43" t="s">
        <v>100</v>
      </c>
      <c r="M5" s="43"/>
      <c r="N5" s="43"/>
      <c r="O5" s="43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 ht="14.25">
      <c r="A6" s="15" t="s">
        <v>12</v>
      </c>
      <c r="B6" s="21">
        <v>2375000000</v>
      </c>
      <c r="C6" s="22">
        <v>125000000</v>
      </c>
      <c r="D6" s="22">
        <f t="shared" si="0"/>
        <v>2500000000</v>
      </c>
      <c r="E6" s="45">
        <v>783086225.48000002</v>
      </c>
      <c r="F6" s="45" t="s">
        <v>140</v>
      </c>
      <c r="G6" s="45">
        <v>2500000000</v>
      </c>
      <c r="H6" s="45">
        <v>1319389639.05</v>
      </c>
      <c r="I6" s="45" t="s">
        <v>148</v>
      </c>
      <c r="J6" s="45">
        <v>3109256326.0300002</v>
      </c>
      <c r="K6" s="45" t="s">
        <v>90</v>
      </c>
      <c r="L6" s="43" t="s">
        <v>149</v>
      </c>
      <c r="M6" s="43"/>
      <c r="N6" s="43"/>
      <c r="O6" s="4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114">
      <c r="A7" s="15" t="s">
        <v>16</v>
      </c>
      <c r="B7" s="21">
        <v>1500000000</v>
      </c>
      <c r="C7" s="16">
        <v>0</v>
      </c>
      <c r="D7" s="17">
        <f t="shared" si="0"/>
        <v>1500000000</v>
      </c>
      <c r="E7" s="45">
        <v>766739875.00999999</v>
      </c>
      <c r="F7" s="45" t="s">
        <v>92</v>
      </c>
      <c r="G7" s="17">
        <v>1500000000</v>
      </c>
      <c r="H7" s="16">
        <v>1097350369.1099999</v>
      </c>
      <c r="I7" s="45" t="s">
        <v>150</v>
      </c>
      <c r="J7" s="45">
        <v>1865553795.6199999</v>
      </c>
      <c r="K7" s="28" t="s">
        <v>94</v>
      </c>
      <c r="L7" s="43" t="s">
        <v>149</v>
      </c>
      <c r="M7" s="43"/>
      <c r="N7" s="43"/>
      <c r="O7" s="43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85.5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43" t="s">
        <v>100</v>
      </c>
      <c r="M8" s="43"/>
      <c r="N8" s="43"/>
      <c r="O8" s="43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 ht="14.2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f>211773067.2+1247001073</f>
        <v>1458774140.2</v>
      </c>
      <c r="J9" s="17">
        <f t="shared" si="4"/>
        <v>1591773067.2</v>
      </c>
      <c r="K9" s="28" t="s">
        <v>134</v>
      </c>
      <c r="L9" s="43" t="s">
        <v>100</v>
      </c>
      <c r="M9" s="43"/>
      <c r="N9" s="43"/>
      <c r="O9" s="43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 ht="71.25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2911007193.2600002</v>
      </c>
      <c r="J10" s="17">
        <f t="shared" si="4"/>
        <v>2911007193.2600002</v>
      </c>
      <c r="K10" s="28" t="s">
        <v>25</v>
      </c>
      <c r="L10" s="43" t="s">
        <v>100</v>
      </c>
      <c r="M10" s="43"/>
      <c r="N10" s="43"/>
      <c r="O10" s="43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3609759422.38+(5*518269874.82)</f>
        <v>6201108796.4799995</v>
      </c>
      <c r="J11" s="17">
        <f t="shared" si="4"/>
        <v>6201108796.4799995</v>
      </c>
      <c r="K11" s="28" t="s">
        <v>27</v>
      </c>
      <c r="L11" s="43" t="s">
        <v>100</v>
      </c>
      <c r="M11" s="43"/>
      <c r="N11" s="43"/>
      <c r="O11" s="43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</row>
    <row r="12" spans="1:29" ht="71.25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4494053686.8699999</v>
      </c>
      <c r="J12" s="17">
        <f t="shared" si="4"/>
        <v>4494053686.8699999</v>
      </c>
      <c r="K12" s="28" t="s">
        <v>29</v>
      </c>
      <c r="L12" s="43" t="s">
        <v>100</v>
      </c>
      <c r="M12" s="43"/>
      <c r="N12" s="43"/>
      <c r="O12" s="43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</row>
    <row r="13" spans="1:29" ht="42.7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167899841.61000001</v>
      </c>
      <c r="I13" s="16">
        <v>0</v>
      </c>
      <c r="J13" s="17">
        <f t="shared" si="4"/>
        <v>167899841.61000001</v>
      </c>
      <c r="K13" s="28" t="s">
        <v>151</v>
      </c>
      <c r="L13" s="43" t="s">
        <v>100</v>
      </c>
      <c r="M13" s="43"/>
      <c r="N13" s="43"/>
      <c r="O13" s="43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1:29" ht="71.25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69">
        <v>436289788.41000003</v>
      </c>
      <c r="J14" s="17">
        <f t="shared" si="4"/>
        <v>436289788.41000003</v>
      </c>
      <c r="K14" s="28" t="s">
        <v>29</v>
      </c>
      <c r="L14" s="43" t="s">
        <v>100</v>
      </c>
      <c r="M14" s="43"/>
      <c r="N14" s="43"/>
      <c r="O14" s="43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1:29" ht="14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28" t="s">
        <v>152</v>
      </c>
      <c r="L15" s="43" t="s">
        <v>100</v>
      </c>
      <c r="M15" s="43"/>
      <c r="N15" s="43"/>
      <c r="O15" s="4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</row>
    <row r="16" spans="1:29" ht="42.7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88353657.55+120165675.36</f>
        <v>208519332.91</v>
      </c>
      <c r="I16" s="16"/>
      <c r="J16" s="17">
        <f t="shared" si="4"/>
        <v>208519332.91</v>
      </c>
      <c r="K16" s="28" t="s">
        <v>151</v>
      </c>
      <c r="L16" s="43" t="s">
        <v>100</v>
      </c>
      <c r="M16" s="43"/>
      <c r="N16" s="43"/>
      <c r="O16" s="43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1:29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7585485161.4899998</v>
      </c>
      <c r="F17" s="31">
        <f>SUM(F4:F16)+1716913774.52+733260124.99</f>
        <v>22327174972.510002</v>
      </c>
      <c r="G17" s="31">
        <f t="shared" ref="G17:H17" si="6">SUM(G4:G16)</f>
        <v>29912660134</v>
      </c>
      <c r="H17" s="31">
        <f t="shared" si="6"/>
        <v>8526158109.6799994</v>
      </c>
      <c r="I17" s="31">
        <f>SUM(I4:I16)+1789866686.99+768203426.51</f>
        <v>27272777012.199997</v>
      </c>
      <c r="J17" s="31">
        <f>SUM(J4:J16)</f>
        <v>35798935121.87001</v>
      </c>
      <c r="K17" s="50"/>
      <c r="L17" s="43" t="s">
        <v>100</v>
      </c>
      <c r="M17" s="51"/>
      <c r="N17" s="70">
        <f>F17-C17</f>
        <v>3742174972.5100021</v>
      </c>
      <c r="O17" s="52">
        <f>N17/(G17-5000000000)</f>
        <v>0.15021177796275564</v>
      </c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</row>
    <row r="18" spans="1:29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17"/>
      <c r="L18" s="43" t="s">
        <v>100</v>
      </c>
      <c r="M18" s="43"/>
      <c r="N18" s="43"/>
      <c r="O18" s="43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17"/>
      <c r="L19" s="43" t="s">
        <v>100</v>
      </c>
      <c r="M19" s="43"/>
      <c r="N19" s="43"/>
      <c r="O19" s="43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1:29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17"/>
      <c r="L20" s="43" t="s">
        <v>100</v>
      </c>
      <c r="M20" s="43"/>
      <c r="N20" s="43"/>
      <c r="O20" s="43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17"/>
      <c r="L21" s="43" t="s">
        <v>100</v>
      </c>
      <c r="M21" s="43"/>
      <c r="N21" s="43"/>
      <c r="O21" s="43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</row>
    <row r="22" spans="1:29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50"/>
      <c r="L22" s="43" t="s">
        <v>100</v>
      </c>
      <c r="M22" s="51"/>
      <c r="N22" s="51"/>
      <c r="O22" s="51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</row>
    <row r="23" spans="1:29" ht="15.75" customHeight="1">
      <c r="A23" s="54" t="s">
        <v>43</v>
      </c>
      <c r="B23" s="55">
        <f t="shared" ref="B23:J23" si="11">B17+B22</f>
        <v>17494715379</v>
      </c>
      <c r="C23" s="55">
        <f t="shared" si="11"/>
        <v>20195051950</v>
      </c>
      <c r="D23" s="55">
        <f t="shared" si="11"/>
        <v>37689767329</v>
      </c>
      <c r="E23" s="55">
        <f t="shared" si="11"/>
        <v>13752540406.49</v>
      </c>
      <c r="F23" s="55">
        <f t="shared" si="11"/>
        <v>23937226922.510002</v>
      </c>
      <c r="G23" s="55">
        <f t="shared" si="11"/>
        <v>37689767329</v>
      </c>
      <c r="H23" s="55">
        <f t="shared" si="11"/>
        <v>14693213354.68</v>
      </c>
      <c r="I23" s="55">
        <f t="shared" si="11"/>
        <v>28882828962.199997</v>
      </c>
      <c r="J23" s="55">
        <f t="shared" si="11"/>
        <v>43576042316.87001</v>
      </c>
      <c r="K23" s="17"/>
      <c r="L23" s="43" t="s">
        <v>100</v>
      </c>
      <c r="M23" s="43"/>
      <c r="N23" s="43"/>
      <c r="O23" s="43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58"/>
      <c r="M24" s="58"/>
      <c r="N24" s="58"/>
      <c r="O24" s="58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1:29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59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59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59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59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59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59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59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59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9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59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9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9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9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9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9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9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9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9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9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9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9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9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9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59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59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59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59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59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59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59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59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59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59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59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59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59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59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59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59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59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59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59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59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59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59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59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59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59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59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59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59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59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59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59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59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59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59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59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59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59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59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59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59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59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59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59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59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59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59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59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59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59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59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59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59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59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59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59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59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59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59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59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59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59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59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59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59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59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59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59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59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59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59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59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59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59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59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59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59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59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59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59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59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59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59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59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59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59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59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59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59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59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59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59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59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59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59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59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59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59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59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59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59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59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59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59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59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59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59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59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59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59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59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59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59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59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59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59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59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59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59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59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59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59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59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59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59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59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59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59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59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59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59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59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59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59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59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59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59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59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59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59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59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59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59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59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59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59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59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59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59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59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59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59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59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59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59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59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59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59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59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59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59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59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59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59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59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59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59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59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59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59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59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59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59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59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59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59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59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59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59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59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59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59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59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59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59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59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59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59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59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59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59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59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59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59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59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59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59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59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59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59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59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59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59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59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59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59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59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59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59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59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59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59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59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59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59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59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59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59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59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59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59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59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59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59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59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59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59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59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59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59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59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59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59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59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59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59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59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59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59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59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59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59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59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59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59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59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59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59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59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59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59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59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59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59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59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59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59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59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59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59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59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59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59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59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59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59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59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59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59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59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59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59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59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59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59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59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59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59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59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59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59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59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59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59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59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59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59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59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59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59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59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59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59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59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59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59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59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59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59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59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59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59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59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59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59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59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59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59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59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59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59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59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59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59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59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59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59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59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59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59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59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59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59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59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59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59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59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59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59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59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59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59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59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59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59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59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59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59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59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59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59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59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59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59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59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59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59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59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59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59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59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59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59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59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59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59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59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59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59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59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59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59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59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59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59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59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59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59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59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59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59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59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59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59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59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59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59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59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59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59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59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59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59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59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59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59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59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59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59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59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59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59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59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59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59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59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59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59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59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59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59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59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59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59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59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59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59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59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59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59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59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59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59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59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59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59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59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59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59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59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59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59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59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59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59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59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59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59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59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59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59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59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59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59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59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59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59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59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59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59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59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59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59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59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59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59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59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59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59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59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59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59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59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59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59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59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59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59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59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59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59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59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59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59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59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59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59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59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59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59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59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59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59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59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59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59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59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59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59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59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59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59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59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59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59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59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59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59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59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59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59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59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59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59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59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59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59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59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59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59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59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59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59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59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59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59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59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59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59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59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59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59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59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59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59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59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59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59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59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59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59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59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59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59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59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59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59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59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59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59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59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59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59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59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59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59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59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59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59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59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59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59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59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59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59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59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59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59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59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59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59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59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59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59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59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59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59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59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59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59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59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59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59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59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59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59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59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59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59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59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59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59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59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59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59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59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59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59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59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59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59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59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59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59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59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59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59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59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59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59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59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59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59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59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59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59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59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59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59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59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59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59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59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59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59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59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59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59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59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59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59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59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59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59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59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59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59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59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59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59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59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59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59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59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59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59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59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59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59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59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59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59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59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59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59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59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59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59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59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59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59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59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59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59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59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59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59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59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59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59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59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59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59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59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59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59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59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59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59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59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59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59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59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59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59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59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59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59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59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59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59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59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59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59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59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59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59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59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59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59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59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59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59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59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59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59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59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59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59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59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59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59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59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59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59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59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59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59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59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59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59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59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59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59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59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59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59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59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59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59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59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59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</row>
  </sheetData>
  <mergeCells count="6">
    <mergeCell ref="L2:L3"/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8.25" customWidth="1"/>
    <col min="11" max="11" width="40.375" customWidth="1"/>
    <col min="12" max="12" width="23.5" customWidth="1"/>
    <col min="13" max="13" width="18.125" customWidth="1"/>
    <col min="14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1" t="s">
        <v>0</v>
      </c>
      <c r="B2" s="143" t="s">
        <v>1</v>
      </c>
      <c r="C2" s="144"/>
      <c r="D2" s="145"/>
      <c r="E2" s="143" t="s">
        <v>153</v>
      </c>
      <c r="F2" s="144"/>
      <c r="G2" s="145"/>
      <c r="H2" s="146" t="s">
        <v>154</v>
      </c>
      <c r="I2" s="144"/>
      <c r="J2" s="145"/>
      <c r="K2" s="147" t="s">
        <v>4</v>
      </c>
      <c r="L2" s="148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14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3" t="s">
        <v>9</v>
      </c>
      <c r="L4" s="71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2000000000+282312603.74+2325834136.37+8387.5+1000000000</f>
        <v>5608155127.6099997</v>
      </c>
      <c r="J5" s="19">
        <f t="shared" si="2"/>
        <v>5608155127.6099997</v>
      </c>
      <c r="K5" s="60" t="s">
        <v>155</v>
      </c>
      <c r="L5" s="73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4.25">
      <c r="A6" s="15" t="s">
        <v>12</v>
      </c>
      <c r="B6" s="21">
        <v>2375000000</v>
      </c>
      <c r="C6" s="22">
        <v>125000000</v>
      </c>
      <c r="D6" s="22">
        <f t="shared" si="0"/>
        <v>2500000000</v>
      </c>
      <c r="E6" s="45">
        <v>821544941.95000005</v>
      </c>
      <c r="F6" s="45" t="s">
        <v>156</v>
      </c>
      <c r="G6" s="45">
        <v>2500000000</v>
      </c>
      <c r="H6" s="45">
        <v>1358566415.8699999</v>
      </c>
      <c r="I6" s="45" t="s">
        <v>157</v>
      </c>
      <c r="J6" s="45">
        <v>3102740570.8299999</v>
      </c>
      <c r="K6" s="45" t="s">
        <v>90</v>
      </c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</row>
    <row r="7" spans="1:29" ht="114">
      <c r="A7" s="15" t="s">
        <v>16</v>
      </c>
      <c r="B7" s="21">
        <v>1500000000</v>
      </c>
      <c r="C7" s="16">
        <v>0</v>
      </c>
      <c r="D7" s="17">
        <f t="shared" si="0"/>
        <v>1500000000</v>
      </c>
      <c r="E7" s="45">
        <v>766739875.00999999</v>
      </c>
      <c r="F7" s="45" t="s">
        <v>92</v>
      </c>
      <c r="G7" s="17">
        <v>1500000000</v>
      </c>
      <c r="H7" s="16">
        <v>1095050762.51</v>
      </c>
      <c r="I7" s="45" t="s">
        <v>158</v>
      </c>
      <c r="J7" s="45">
        <v>1861644342.5</v>
      </c>
      <c r="K7" s="28" t="s">
        <v>94</v>
      </c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</row>
    <row r="8" spans="1:29" ht="85.5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71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4.2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v>1417001073</v>
      </c>
      <c r="J9" s="17">
        <f t="shared" si="4"/>
        <v>1550000000</v>
      </c>
      <c r="K9" s="28" t="s">
        <v>159</v>
      </c>
      <c r="L9" s="73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</row>
    <row r="10" spans="1:29" ht="71.25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2888668866.77</v>
      </c>
      <c r="J10" s="17">
        <f t="shared" si="4"/>
        <v>2888668866.77</v>
      </c>
      <c r="K10" s="28" t="s">
        <v>25</v>
      </c>
      <c r="L10" s="73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2088665531+466567243.45+1042123007.03+(5*518269874.82)</f>
        <v>6188705155.5799999</v>
      </c>
      <c r="J11" s="17">
        <f t="shared" si="4"/>
        <v>6188705155.5799999</v>
      </c>
      <c r="K11" s="28" t="s">
        <v>27</v>
      </c>
      <c r="L11" s="73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71.25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4474808484.9799995</v>
      </c>
      <c r="J12" s="17">
        <f t="shared" si="4"/>
        <v>4474808484.9799995</v>
      </c>
      <c r="K12" s="28" t="s">
        <v>29</v>
      </c>
      <c r="L12" s="73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42.7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167547990.83000001</v>
      </c>
      <c r="I13" s="16">
        <v>0</v>
      </c>
      <c r="J13" s="17">
        <f t="shared" si="4"/>
        <v>167547990.83000001</v>
      </c>
      <c r="K13" s="28" t="s">
        <v>160</v>
      </c>
      <c r="L13" s="73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71.25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16">
        <v>433206761.19</v>
      </c>
      <c r="J14" s="17">
        <f t="shared" si="4"/>
        <v>433206761.19</v>
      </c>
      <c r="K14" s="28" t="s">
        <v>29</v>
      </c>
      <c r="L14" s="73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4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28" t="s">
        <v>161</v>
      </c>
      <c r="L15" s="71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42.7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88168503.69+119913856.26</f>
        <v>208082359.94999999</v>
      </c>
      <c r="I16" s="16"/>
      <c r="J16" s="17">
        <f t="shared" si="4"/>
        <v>208082359.94999999</v>
      </c>
      <c r="K16" s="28" t="s">
        <v>160</v>
      </c>
      <c r="L16" s="73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7623943877.96</v>
      </c>
      <c r="F17" s="31">
        <f>SUM(F4:F16)+1678455058.05+733260124.99</f>
        <v>22288716256.040001</v>
      </c>
      <c r="G17" s="31">
        <f t="shared" ref="G17:H17" si="6">SUM(G4:G16)</f>
        <v>29912660134</v>
      </c>
      <c r="H17" s="31">
        <f t="shared" si="6"/>
        <v>8562246456.1599998</v>
      </c>
      <c r="I17" s="31">
        <f>SUM(I4:I16)+1744174154.96+766593580</f>
        <v>27080631369.959999</v>
      </c>
      <c r="J17" s="31">
        <f>SUM(J4:J16)</f>
        <v>35642877826.109993</v>
      </c>
      <c r="K17" s="50"/>
      <c r="L17" s="76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17"/>
      <c r="L18" s="4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17"/>
      <c r="L19" s="4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17"/>
      <c r="L20" s="4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17"/>
      <c r="L21" s="4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50"/>
      <c r="L22" s="78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54" t="s">
        <v>43</v>
      </c>
      <c r="B23" s="55">
        <f t="shared" ref="B23:J23" si="11">B17+B22</f>
        <v>17494715379</v>
      </c>
      <c r="C23" s="55">
        <f t="shared" si="11"/>
        <v>20195051950</v>
      </c>
      <c r="D23" s="55">
        <f t="shared" si="11"/>
        <v>37689767329</v>
      </c>
      <c r="E23" s="55">
        <f t="shared" si="11"/>
        <v>13790999122.959999</v>
      </c>
      <c r="F23" s="55">
        <f t="shared" si="11"/>
        <v>23898768206.040001</v>
      </c>
      <c r="G23" s="55">
        <f t="shared" si="11"/>
        <v>37689767329</v>
      </c>
      <c r="H23" s="55">
        <f t="shared" si="11"/>
        <v>14729301701.16</v>
      </c>
      <c r="I23" s="55">
        <f t="shared" si="11"/>
        <v>28690683319.959999</v>
      </c>
      <c r="J23" s="55">
        <f t="shared" si="11"/>
        <v>43419985021.109993</v>
      </c>
      <c r="K23" s="17"/>
      <c r="L23" s="41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4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4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4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4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41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4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4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4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4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4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4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4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4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4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4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4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4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4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4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4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4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4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4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4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4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4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4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4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4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4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4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4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4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4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4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4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4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4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4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4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4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4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4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4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4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4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4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4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4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4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4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4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4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4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4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4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4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4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4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4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4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4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4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4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4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4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4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4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4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4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4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4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4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4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4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4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4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4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4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4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4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4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4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4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4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4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4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4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4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4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4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4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4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4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4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4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4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4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4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4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4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4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4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4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4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4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4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4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4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4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4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4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4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4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4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4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4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4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4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4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4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4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4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4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4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4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4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4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4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4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4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4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4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4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4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4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4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4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4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4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4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4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4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4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4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4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4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4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4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4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4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4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4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4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4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4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4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4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4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4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4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4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4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4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4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4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4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4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4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4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4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4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4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4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4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4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4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4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4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4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4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4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4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4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4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4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4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4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4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4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4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4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4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4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4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4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4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4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4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4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4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4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4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4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4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4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4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4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4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4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4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4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4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4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4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4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4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4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4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4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4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4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4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4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4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4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4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4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4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4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4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4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4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4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4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4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4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4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4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4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4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4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4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4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4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4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4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4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4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4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4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4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4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4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4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4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4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4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4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4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4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4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4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4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4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4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4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4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4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4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4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4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4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4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4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4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4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4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4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4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4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4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4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4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4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4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4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4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4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4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4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4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4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4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4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4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4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4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4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4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4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4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4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4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4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4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4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4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4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4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4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4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4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4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4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4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4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4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4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4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4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4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4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4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4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4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4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4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4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4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4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4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4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4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4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4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4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4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4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4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4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4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4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4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4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4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4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4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4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4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4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4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4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4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4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4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4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4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4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4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4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4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4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4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4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4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4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4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4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4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4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4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4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4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4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4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4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4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4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4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4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4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4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4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4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4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4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4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4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4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4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4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4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4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4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4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4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4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4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4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4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4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4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4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4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4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4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4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4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4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4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4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4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4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4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4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4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4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4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4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4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4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4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4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4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4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4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4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4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4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4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4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4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4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4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4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4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4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4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4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4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4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4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4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4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4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4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4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4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4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4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4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4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4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4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4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4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4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4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4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4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4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4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4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4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4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4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4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4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4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4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4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4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4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4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4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4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4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4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4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4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4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4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4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4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4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4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4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4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4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4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4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4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4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4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4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4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4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4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4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4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4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4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4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4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4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4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4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4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4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4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4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4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4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4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4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4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4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4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4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4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4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4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4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4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4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4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4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4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4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4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4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4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4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4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4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4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4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4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4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4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4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4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4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4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4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4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4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4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4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4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4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4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4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4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4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4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4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4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4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4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4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4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4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4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4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4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4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4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4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4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4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4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4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4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4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4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4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4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4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4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4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4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4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4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4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4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4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4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4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4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4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4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4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4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4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4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4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4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4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4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4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4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4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4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4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4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4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4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4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4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4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4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4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4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4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4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4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4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4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4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4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4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4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4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4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4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4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4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4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4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4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4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4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4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4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4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4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4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4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4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4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4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4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4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4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4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4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4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4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4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4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4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4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4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4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4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4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4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4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4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4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4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4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4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4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4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4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4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4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4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4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4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4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4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4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4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4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4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4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4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4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4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4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4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4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4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4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4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4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4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4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4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4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4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4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4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4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4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4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4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4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4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4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4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4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4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4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4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4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4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4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4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4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4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4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4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4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4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4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4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4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4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4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4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4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4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4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4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4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4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4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4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4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4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4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4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4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4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4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4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4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4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4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4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4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4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4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4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4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4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4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4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4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4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4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4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4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4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4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4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4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4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4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4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4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4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4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4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4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4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4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4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4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4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4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4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4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4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4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4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4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4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4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4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4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4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4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4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4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4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4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4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4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4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4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4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4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4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4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4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4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4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4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4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4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4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4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4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4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4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4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4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4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4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4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4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4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4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4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4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4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4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4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4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4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4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4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4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4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4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4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4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4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4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4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4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4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4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4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4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4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4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4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4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4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4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4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4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4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4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4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4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4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4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4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4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4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4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4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4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4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4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4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4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4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4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4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4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4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4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4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4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4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4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4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4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4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4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4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4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4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4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4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4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4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4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4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4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4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4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4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4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4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4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4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4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4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4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4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4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4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4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4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4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4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4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4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4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4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4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4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4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4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4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4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4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4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4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4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4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4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4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4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4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4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4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4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4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4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4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4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4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4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4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4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4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4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4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4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4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4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4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4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4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4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4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4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4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4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4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4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4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4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4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4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4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4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4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4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4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4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4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4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4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4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4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41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41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41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41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41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41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41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41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41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41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41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41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</sheetData>
  <mergeCells count="6">
    <mergeCell ref="L2:L3"/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13.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6.125" customWidth="1"/>
    <col min="11" max="11" width="40.375" customWidth="1"/>
    <col min="12" max="12" width="23.5" customWidth="1"/>
    <col min="13" max="13" width="18.125" customWidth="1"/>
    <col min="14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50" t="s">
        <v>162</v>
      </c>
      <c r="B2" s="152" t="s">
        <v>163</v>
      </c>
      <c r="C2" s="153"/>
      <c r="D2" s="154"/>
      <c r="E2" s="155" t="s">
        <v>164</v>
      </c>
      <c r="F2" s="153"/>
      <c r="G2" s="154"/>
      <c r="H2" s="156" t="s">
        <v>165</v>
      </c>
      <c r="I2" s="153"/>
      <c r="J2" s="154"/>
      <c r="K2" s="150" t="s">
        <v>166</v>
      </c>
      <c r="L2" s="4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51"/>
      <c r="B3" s="81" t="s">
        <v>5</v>
      </c>
      <c r="C3" s="81" t="s">
        <v>6</v>
      </c>
      <c r="D3" s="81" t="s">
        <v>7</v>
      </c>
      <c r="E3" s="81" t="s">
        <v>5</v>
      </c>
      <c r="F3" s="80" t="s">
        <v>6</v>
      </c>
      <c r="G3" s="80" t="s">
        <v>7</v>
      </c>
      <c r="H3" s="81" t="s">
        <v>5</v>
      </c>
      <c r="I3" s="80" t="s">
        <v>6</v>
      </c>
      <c r="J3" s="80" t="s">
        <v>7</v>
      </c>
      <c r="K3" s="151"/>
      <c r="L3" s="4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82" t="s">
        <v>8</v>
      </c>
      <c r="B4" s="83">
        <v>0</v>
      </c>
      <c r="C4" s="84">
        <v>3000000000</v>
      </c>
      <c r="D4" s="84">
        <f t="shared" ref="D4:D16" si="0">SUM(B4:C4)</f>
        <v>3000000000</v>
      </c>
      <c r="E4" s="85">
        <v>0</v>
      </c>
      <c r="F4" s="86">
        <v>3000000000</v>
      </c>
      <c r="G4" s="87">
        <f t="shared" ref="G4:G5" si="1">SUM(E4:F4)</f>
        <v>3000000000</v>
      </c>
      <c r="H4" s="88"/>
      <c r="I4" s="89">
        <f>1766210022.45+1693108143.42</f>
        <v>3459318165.8699999</v>
      </c>
      <c r="J4" s="89">
        <f t="shared" ref="J4:J5" si="2">SUM(H4:I4)</f>
        <v>3459318165.8699999</v>
      </c>
      <c r="K4" s="90" t="s">
        <v>9</v>
      </c>
      <c r="L4" s="4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>
      <c r="A5" s="91" t="s">
        <v>10</v>
      </c>
      <c r="B5" s="92">
        <v>0</v>
      </c>
      <c r="C5" s="93">
        <v>4400000000</v>
      </c>
      <c r="D5" s="93">
        <f t="shared" si="0"/>
        <v>4400000000</v>
      </c>
      <c r="E5" s="94">
        <v>0</v>
      </c>
      <c r="F5" s="95">
        <v>4400000000</v>
      </c>
      <c r="G5" s="95">
        <f t="shared" si="1"/>
        <v>4400000000</v>
      </c>
      <c r="H5" s="95">
        <v>0</v>
      </c>
      <c r="I5" s="95">
        <f>2000000000+282312603.74+2325834136.37+8387.5+1000000000</f>
        <v>5608155127.6099997</v>
      </c>
      <c r="J5" s="95">
        <f t="shared" si="2"/>
        <v>5608155127.6099997</v>
      </c>
      <c r="K5" s="96" t="s">
        <v>167</v>
      </c>
      <c r="L5" s="97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25">
      <c r="A6" s="91" t="s">
        <v>12</v>
      </c>
      <c r="B6" s="98">
        <v>2375000000</v>
      </c>
      <c r="C6" s="99">
        <v>125000000</v>
      </c>
      <c r="D6" s="99">
        <f t="shared" si="0"/>
        <v>2500000000</v>
      </c>
      <c r="E6" s="100">
        <f>G6-1538167873.18</f>
        <v>961832126.81999993</v>
      </c>
      <c r="F6" s="100" t="s">
        <v>168</v>
      </c>
      <c r="G6" s="100">
        <v>2500000000</v>
      </c>
      <c r="H6" s="100">
        <v>1351313224.0899999</v>
      </c>
      <c r="I6" s="100" t="s">
        <v>169</v>
      </c>
      <c r="J6" s="100">
        <v>3088533317.5700002</v>
      </c>
      <c r="K6" s="100" t="s">
        <v>90</v>
      </c>
      <c r="L6" s="97"/>
      <c r="M6" s="101"/>
      <c r="N6" s="102"/>
      <c r="O6" s="102"/>
      <c r="P6" s="102"/>
      <c r="Q6" s="102"/>
      <c r="R6" s="102"/>
      <c r="S6" s="103"/>
      <c r="T6" s="102"/>
      <c r="U6" s="104">
        <v>760194656.66999996</v>
      </c>
      <c r="V6" s="102"/>
      <c r="W6" s="102"/>
      <c r="X6" s="102"/>
      <c r="Y6" s="102"/>
      <c r="Z6" s="102"/>
      <c r="AA6" s="102"/>
      <c r="AB6" s="102"/>
      <c r="AC6" s="102"/>
    </row>
    <row r="7" spans="1:29" ht="128.25">
      <c r="A7" s="91" t="s">
        <v>16</v>
      </c>
      <c r="B7" s="98">
        <v>1500000000</v>
      </c>
      <c r="C7" s="92">
        <v>0</v>
      </c>
      <c r="D7" s="93">
        <f t="shared" si="0"/>
        <v>1500000000</v>
      </c>
      <c r="E7" s="100">
        <v>767603444.46000004</v>
      </c>
      <c r="F7" s="100" t="s">
        <v>170</v>
      </c>
      <c r="G7" s="93">
        <v>1500000000</v>
      </c>
      <c r="H7" s="92">
        <v>1090036594.1700001</v>
      </c>
      <c r="I7" s="100" t="s">
        <v>171</v>
      </c>
      <c r="J7" s="100">
        <v>1853119990.54</v>
      </c>
      <c r="K7" s="105" t="s">
        <v>94</v>
      </c>
      <c r="L7" s="97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85.5">
      <c r="A8" s="106" t="s">
        <v>20</v>
      </c>
      <c r="B8" s="92">
        <v>5000000000</v>
      </c>
      <c r="C8" s="92">
        <v>0</v>
      </c>
      <c r="D8" s="93">
        <f t="shared" si="0"/>
        <v>5000000000</v>
      </c>
      <c r="E8" s="92">
        <v>5000000000</v>
      </c>
      <c r="F8" s="92">
        <v>0</v>
      </c>
      <c r="G8" s="93">
        <f t="shared" ref="G8:G16" si="3">SUM(E8:F8)</f>
        <v>5000000000</v>
      </c>
      <c r="H8" s="92">
        <v>5000000000</v>
      </c>
      <c r="I8" s="92">
        <v>0</v>
      </c>
      <c r="J8" s="93">
        <f t="shared" ref="J8:J16" si="4">SUM(H8:I8)</f>
        <v>5000000000</v>
      </c>
      <c r="K8" s="105" t="s">
        <v>21</v>
      </c>
      <c r="L8" s="4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25">
      <c r="A9" s="106" t="s">
        <v>22</v>
      </c>
      <c r="B9" s="92">
        <v>1550000000</v>
      </c>
      <c r="C9" s="92">
        <v>0</v>
      </c>
      <c r="D9" s="93">
        <f t="shared" si="0"/>
        <v>1550000000</v>
      </c>
      <c r="E9" s="92">
        <v>1550000000</v>
      </c>
      <c r="F9" s="92">
        <v>0</v>
      </c>
      <c r="G9" s="93">
        <f t="shared" si="3"/>
        <v>1550000000</v>
      </c>
      <c r="H9" s="92">
        <v>1550000000</v>
      </c>
      <c r="I9" s="92">
        <v>0</v>
      </c>
      <c r="J9" s="93">
        <f t="shared" si="4"/>
        <v>1550000000</v>
      </c>
      <c r="K9" s="105" t="s">
        <v>172</v>
      </c>
      <c r="L9" s="4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1.25">
      <c r="A10" s="91" t="s">
        <v>24</v>
      </c>
      <c r="B10" s="92">
        <v>0</v>
      </c>
      <c r="C10" s="92">
        <v>2050000000</v>
      </c>
      <c r="D10" s="93">
        <f t="shared" si="0"/>
        <v>2050000000</v>
      </c>
      <c r="E10" s="92">
        <v>0</v>
      </c>
      <c r="F10" s="92">
        <v>2050000000</v>
      </c>
      <c r="G10" s="93">
        <f t="shared" si="3"/>
        <v>2050000000</v>
      </c>
      <c r="H10" s="92">
        <v>0</v>
      </c>
      <c r="I10" s="92">
        <v>2865242744.2399998</v>
      </c>
      <c r="J10" s="93">
        <f t="shared" si="4"/>
        <v>2865242744.2399998</v>
      </c>
      <c r="K10" s="105" t="s">
        <v>25</v>
      </c>
      <c r="L10" s="97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3.25" customHeight="1">
      <c r="A11" s="91" t="s">
        <v>26</v>
      </c>
      <c r="B11" s="92">
        <v>0</v>
      </c>
      <c r="C11" s="92">
        <v>4950000000</v>
      </c>
      <c r="D11" s="93">
        <f t="shared" si="0"/>
        <v>4950000000</v>
      </c>
      <c r="E11" s="92">
        <v>0</v>
      </c>
      <c r="F11" s="92">
        <v>4950000000</v>
      </c>
      <c r="G11" s="93">
        <f t="shared" si="3"/>
        <v>4950000000</v>
      </c>
      <c r="H11" s="92">
        <v>0</v>
      </c>
      <c r="I11" s="92">
        <v>6056862825.6899996</v>
      </c>
      <c r="J11" s="93">
        <f t="shared" si="4"/>
        <v>6056862825.6899996</v>
      </c>
      <c r="K11" s="105" t="s">
        <v>173</v>
      </c>
      <c r="L11" s="107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>
      <c r="A12" s="91" t="s">
        <v>28</v>
      </c>
      <c r="B12" s="92">
        <v>0</v>
      </c>
      <c r="C12" s="92">
        <v>3650000000</v>
      </c>
      <c r="D12" s="93">
        <f t="shared" si="0"/>
        <v>3650000000</v>
      </c>
      <c r="E12" s="92">
        <v>0</v>
      </c>
      <c r="F12" s="92">
        <v>3650000000</v>
      </c>
      <c r="G12" s="93">
        <f t="shared" si="3"/>
        <v>3650000000</v>
      </c>
      <c r="H12" s="92">
        <v>0</v>
      </c>
      <c r="I12" s="92">
        <v>4454481653.4300003</v>
      </c>
      <c r="J12" s="93">
        <f t="shared" si="4"/>
        <v>4454481653.4300003</v>
      </c>
      <c r="K12" s="105" t="s">
        <v>29</v>
      </c>
      <c r="L12" s="97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42.75">
      <c r="A13" s="91" t="s">
        <v>30</v>
      </c>
      <c r="B13" s="93">
        <v>135000000</v>
      </c>
      <c r="C13" s="92">
        <v>0</v>
      </c>
      <c r="D13" s="93">
        <f t="shared" si="0"/>
        <v>135000000</v>
      </c>
      <c r="E13" s="92">
        <v>135000000</v>
      </c>
      <c r="F13" s="92">
        <v>0</v>
      </c>
      <c r="G13" s="93">
        <f t="shared" si="3"/>
        <v>135000000</v>
      </c>
      <c r="H13" s="92">
        <v>166780799.15000001</v>
      </c>
      <c r="I13" s="92">
        <v>0</v>
      </c>
      <c r="J13" s="93">
        <f t="shared" si="4"/>
        <v>166780799.15000001</v>
      </c>
      <c r="K13" s="105" t="s">
        <v>174</v>
      </c>
      <c r="L13" s="97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71.25">
      <c r="A14" s="91" t="s">
        <v>32</v>
      </c>
      <c r="B14" s="92">
        <v>0</v>
      </c>
      <c r="C14" s="92">
        <v>310000000</v>
      </c>
      <c r="D14" s="93">
        <f t="shared" si="0"/>
        <v>310000000</v>
      </c>
      <c r="E14" s="92">
        <v>0</v>
      </c>
      <c r="F14" s="92">
        <v>310000000</v>
      </c>
      <c r="G14" s="93">
        <f t="shared" si="3"/>
        <v>310000000</v>
      </c>
      <c r="H14" s="92">
        <v>0</v>
      </c>
      <c r="I14" s="92">
        <v>429965881</v>
      </c>
      <c r="J14" s="93">
        <f t="shared" si="4"/>
        <v>429965881</v>
      </c>
      <c r="K14" s="105" t="s">
        <v>29</v>
      </c>
      <c r="L14" s="9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25">
      <c r="A15" s="106" t="s">
        <v>33</v>
      </c>
      <c r="B15" s="92">
        <v>600000000</v>
      </c>
      <c r="C15" s="92">
        <v>100000000</v>
      </c>
      <c r="D15" s="93">
        <f t="shared" si="0"/>
        <v>700000000</v>
      </c>
      <c r="E15" s="92">
        <v>600000000</v>
      </c>
      <c r="F15" s="92">
        <v>100000000</v>
      </c>
      <c r="G15" s="93">
        <f t="shared" si="3"/>
        <v>700000000</v>
      </c>
      <c r="H15" s="92">
        <v>600000000</v>
      </c>
      <c r="I15" s="92">
        <v>100000000</v>
      </c>
      <c r="J15" s="93">
        <f t="shared" si="4"/>
        <v>700000000</v>
      </c>
      <c r="K15" s="105" t="s">
        <v>175</v>
      </c>
      <c r="L15" s="4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2.75">
      <c r="A16" s="91" t="s">
        <v>35</v>
      </c>
      <c r="B16" s="93">
        <f>71040828+96619306</f>
        <v>167660134</v>
      </c>
      <c r="C16" s="92">
        <v>0</v>
      </c>
      <c r="D16" s="93">
        <f t="shared" si="0"/>
        <v>167660134</v>
      </c>
      <c r="E16" s="93">
        <f>71040828+96619306</f>
        <v>167660134</v>
      </c>
      <c r="F16" s="92">
        <v>0</v>
      </c>
      <c r="G16" s="93">
        <f t="shared" si="3"/>
        <v>167660134</v>
      </c>
      <c r="H16" s="93">
        <f>87764785.67+119364778.28</f>
        <v>207129563.94999999</v>
      </c>
      <c r="I16" s="92"/>
      <c r="J16" s="93">
        <f t="shared" si="4"/>
        <v>207129563.94999999</v>
      </c>
      <c r="K16" s="105" t="s">
        <v>174</v>
      </c>
      <c r="L16" s="97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108" t="s">
        <v>37</v>
      </c>
      <c r="B17" s="109">
        <f t="shared" ref="B17:E17" si="5">SUM(B4:B16)</f>
        <v>11327660134</v>
      </c>
      <c r="C17" s="109">
        <f t="shared" si="5"/>
        <v>18585000000</v>
      </c>
      <c r="D17" s="109">
        <f t="shared" si="5"/>
        <v>29912660134</v>
      </c>
      <c r="E17" s="109">
        <f t="shared" si="5"/>
        <v>9182095705.2799988</v>
      </c>
      <c r="F17" s="109">
        <f>SUM(F4:F16)+1538167873.18+732396555.54</f>
        <v>20730564428.720001</v>
      </c>
      <c r="G17" s="109">
        <f t="shared" ref="G17:H17" si="6">SUM(G4:G16)</f>
        <v>29912660134</v>
      </c>
      <c r="H17" s="109">
        <f t="shared" si="6"/>
        <v>9965260181.3600006</v>
      </c>
      <c r="I17" s="109">
        <f>SUM(I4:I16)+1737220093.498+763083396.37</f>
        <v>25474329887.708</v>
      </c>
      <c r="J17" s="109">
        <f>SUM(J4:J16)</f>
        <v>35439590069.050003</v>
      </c>
      <c r="K17" s="110"/>
      <c r="L17" s="111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4.25">
      <c r="A18" s="91" t="s">
        <v>38</v>
      </c>
      <c r="B18" s="92">
        <v>0</v>
      </c>
      <c r="C18" s="92">
        <v>1500000000</v>
      </c>
      <c r="D18" s="93">
        <f t="shared" ref="D18:D21" si="7">SUM(B18:C18)</f>
        <v>1500000000</v>
      </c>
      <c r="E18" s="92">
        <v>0</v>
      </c>
      <c r="F18" s="92">
        <v>1500000000</v>
      </c>
      <c r="G18" s="93">
        <f t="shared" ref="G18:G21" si="8">SUM(E18:F18)</f>
        <v>1500000000</v>
      </c>
      <c r="H18" s="92">
        <v>0</v>
      </c>
      <c r="I18" s="92">
        <v>1500000000</v>
      </c>
      <c r="J18" s="93">
        <f t="shared" ref="J18:J21" si="9">SUM(H18:I18)</f>
        <v>1500000000</v>
      </c>
      <c r="K18" s="93"/>
      <c r="L18" s="4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4.25">
      <c r="A19" s="91" t="s">
        <v>39</v>
      </c>
      <c r="B19" s="93">
        <v>4392583672</v>
      </c>
      <c r="C19" s="92">
        <v>0</v>
      </c>
      <c r="D19" s="93">
        <f t="shared" si="7"/>
        <v>4392583672</v>
      </c>
      <c r="E19" s="92">
        <v>4392583672</v>
      </c>
      <c r="F19" s="92">
        <v>0</v>
      </c>
      <c r="G19" s="93">
        <f t="shared" si="8"/>
        <v>4392583672</v>
      </c>
      <c r="H19" s="92">
        <v>4392583672</v>
      </c>
      <c r="I19" s="92">
        <v>0</v>
      </c>
      <c r="J19" s="93">
        <f t="shared" si="9"/>
        <v>4392583672</v>
      </c>
      <c r="K19" s="93"/>
      <c r="L19" s="4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4.25">
      <c r="A20" s="91" t="s">
        <v>40</v>
      </c>
      <c r="B20" s="93">
        <v>1774471573</v>
      </c>
      <c r="C20" s="92">
        <v>0</v>
      </c>
      <c r="D20" s="93">
        <f t="shared" si="7"/>
        <v>1774471573</v>
      </c>
      <c r="E20" s="92">
        <v>1774471573</v>
      </c>
      <c r="F20" s="92">
        <v>0</v>
      </c>
      <c r="G20" s="93">
        <f t="shared" si="8"/>
        <v>1774471573</v>
      </c>
      <c r="H20" s="92">
        <v>1774471573</v>
      </c>
      <c r="I20" s="92">
        <v>0</v>
      </c>
      <c r="J20" s="93">
        <f t="shared" si="9"/>
        <v>1774471573</v>
      </c>
      <c r="K20" s="93"/>
      <c r="L20" s="4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4.25">
      <c r="A21" s="91" t="s">
        <v>41</v>
      </c>
      <c r="B21" s="92">
        <v>0</v>
      </c>
      <c r="C21" s="93">
        <v>110051950</v>
      </c>
      <c r="D21" s="93">
        <f t="shared" si="7"/>
        <v>110051950</v>
      </c>
      <c r="E21" s="92">
        <v>0</v>
      </c>
      <c r="F21" s="92">
        <v>110051950</v>
      </c>
      <c r="G21" s="93">
        <f t="shared" si="8"/>
        <v>110051950</v>
      </c>
      <c r="H21" s="92">
        <v>0</v>
      </c>
      <c r="I21" s="92">
        <v>110051950</v>
      </c>
      <c r="J21" s="93">
        <f t="shared" si="9"/>
        <v>110051950</v>
      </c>
      <c r="K21" s="93"/>
      <c r="L21" s="4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108" t="s">
        <v>42</v>
      </c>
      <c r="B22" s="109">
        <f t="shared" ref="B22:J22" si="10">SUM(B18:B21)</f>
        <v>6167055245</v>
      </c>
      <c r="C22" s="109">
        <f t="shared" si="10"/>
        <v>1610051950</v>
      </c>
      <c r="D22" s="109">
        <f t="shared" si="10"/>
        <v>7777107195</v>
      </c>
      <c r="E22" s="109">
        <f t="shared" si="10"/>
        <v>6167055245</v>
      </c>
      <c r="F22" s="109">
        <f t="shared" si="10"/>
        <v>1610051950</v>
      </c>
      <c r="G22" s="109">
        <f t="shared" si="10"/>
        <v>7777107195</v>
      </c>
      <c r="H22" s="109">
        <f t="shared" si="10"/>
        <v>6167055245</v>
      </c>
      <c r="I22" s="109">
        <f t="shared" si="10"/>
        <v>1610051950</v>
      </c>
      <c r="J22" s="109">
        <f t="shared" si="10"/>
        <v>7777107195</v>
      </c>
      <c r="K22" s="110"/>
      <c r="L22" s="78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112" t="s">
        <v>43</v>
      </c>
      <c r="B23" s="113">
        <f t="shared" ref="B23:J23" si="11">B17+B22</f>
        <v>17494715379</v>
      </c>
      <c r="C23" s="113">
        <f t="shared" si="11"/>
        <v>20195051950</v>
      </c>
      <c r="D23" s="113">
        <f t="shared" si="11"/>
        <v>37689767329</v>
      </c>
      <c r="E23" s="113">
        <f t="shared" si="11"/>
        <v>15349150950.279999</v>
      </c>
      <c r="F23" s="113">
        <f t="shared" si="11"/>
        <v>22340616378.720001</v>
      </c>
      <c r="G23" s="113">
        <f t="shared" si="11"/>
        <v>37689767329</v>
      </c>
      <c r="H23" s="113">
        <f t="shared" si="11"/>
        <v>16132315426.360001</v>
      </c>
      <c r="I23" s="113">
        <f t="shared" si="11"/>
        <v>27084381837.708</v>
      </c>
      <c r="J23" s="113">
        <f t="shared" si="11"/>
        <v>43216697264.050003</v>
      </c>
      <c r="K23" s="93"/>
      <c r="L23" s="41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4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4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4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4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41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4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4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4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4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4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4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4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4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4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4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4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4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4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4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4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4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4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4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4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4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4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4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4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4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4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4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4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4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4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4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4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4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4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4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4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4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4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4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4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4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4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4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4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4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4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4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4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4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4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4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4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4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4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4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4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4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4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4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4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4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4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4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4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4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4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4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4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4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4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4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4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4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4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4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4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4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4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4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4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4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4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4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4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4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4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4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4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4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4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4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4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4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4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4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4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4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4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4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4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4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4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4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4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4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4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4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4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4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4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4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4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4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4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4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4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4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4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4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4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4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4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4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4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4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4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4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4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4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4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4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4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4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4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4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4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4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4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4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4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4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4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4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4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4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4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4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4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4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4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4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4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4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4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4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4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4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4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4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4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4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4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4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4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4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4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4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4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4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4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4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4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4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4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4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4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4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4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4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4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4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4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4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4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4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4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4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4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4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4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4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4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4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4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4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4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4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4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4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4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4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4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4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4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4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4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4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4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4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4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4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4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4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4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4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4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4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4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4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4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4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4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4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4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4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4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4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4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4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4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4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4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4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4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4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4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4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4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4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4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4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4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4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4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4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4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4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4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4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4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4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4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4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4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4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4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4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4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4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4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4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4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4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4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4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4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4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4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4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4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4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4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4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4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4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4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4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4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4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4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4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4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4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4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4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4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4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4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4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4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4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4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4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4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4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4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4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4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4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4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4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4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4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4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4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4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4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4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4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4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4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4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4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4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4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4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4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4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4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4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4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4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4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4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4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4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4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4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4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4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4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4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4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4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4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4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4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4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4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4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4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4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4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4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4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4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4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4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4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4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4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4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4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4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4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4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4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4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4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4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4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4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4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4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4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4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4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4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4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4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4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4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4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4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4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4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4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4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4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4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4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4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4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4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4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4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4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4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4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4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4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4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4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4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4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4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4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4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4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4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4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4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4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4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4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4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4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4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4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4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4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4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4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4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4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4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4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4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4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4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4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4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4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4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4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4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4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4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4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4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4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4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4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4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4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4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4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4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4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4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4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4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4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4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4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4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4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4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4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4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4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4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4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4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4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4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4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4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4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4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4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4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4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4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4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4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4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4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4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4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4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4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4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4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4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4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4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4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4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4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4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4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4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4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4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4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4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4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4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4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4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4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4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4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4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4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4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4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4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4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4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4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4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4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4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4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4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4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4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4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4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4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4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4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4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4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4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4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4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4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4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4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4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4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4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4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4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4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4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4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4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4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4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4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4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4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4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4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4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4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4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4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4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4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4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4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4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4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4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4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4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4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4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4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4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4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4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4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4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4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4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4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4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4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4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4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4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4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4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4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4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4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4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4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4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4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4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4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4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4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4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4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4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4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4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4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4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4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4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4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4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4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4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4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4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4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4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4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4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4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4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4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4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4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4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4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4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4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4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4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4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4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4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4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4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4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4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4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4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4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4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4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4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4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4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4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4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4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4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4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4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4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4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4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4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4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4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4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4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4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4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4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4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4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4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4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4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4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4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4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4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4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4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4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4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4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4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4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4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4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4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4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4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4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4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4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4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4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4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4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4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4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4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4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4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4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4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4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4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4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4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4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4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4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4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4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4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4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4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4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4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4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4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4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4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4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4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4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4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4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4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4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4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4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4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4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4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4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4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4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4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4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4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4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4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4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4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4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4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4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4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4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4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4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4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4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4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4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4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4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4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4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4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4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4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4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4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4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4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4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4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4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4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4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4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4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4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4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4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4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4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4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4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4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4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4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4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4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4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4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4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4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4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4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4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4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4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4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4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4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4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4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4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4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4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4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4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4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4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4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4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4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4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4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4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4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4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4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4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4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4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4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4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4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4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4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4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4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4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4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4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4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4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4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4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4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4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4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4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4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4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4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4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4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4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4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4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4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4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4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4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4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4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4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4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4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4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4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4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4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4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4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4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4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4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4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4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4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4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4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4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4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4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4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4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4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4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4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4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4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4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4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4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4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4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4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4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4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4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4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4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4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4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4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4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4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4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4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4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4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4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4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4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4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4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4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4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4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4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4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4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4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4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4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4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4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4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4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4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4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4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4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4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4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4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4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4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4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4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4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4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4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4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4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4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4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4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4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4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4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4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4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4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4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4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4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4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4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4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4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4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4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4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4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4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4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4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4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4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4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4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4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4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4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4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4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4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4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4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4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4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4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4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4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4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4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4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4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4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4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4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4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4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4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4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4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4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4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4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4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4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4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4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41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41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41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41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41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41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41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41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41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41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41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41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</sheetData>
  <mergeCells count="5"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13.3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5" customWidth="1"/>
    <col min="11" max="11" width="40.375" customWidth="1"/>
    <col min="12" max="12" width="8.625" customWidth="1"/>
    <col min="13" max="13" width="18.125" customWidth="1"/>
    <col min="14" max="29" width="8.625" customWidth="1"/>
  </cols>
  <sheetData>
    <row r="1" spans="1:29" ht="14.25">
      <c r="A1" s="1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</row>
    <row r="2" spans="1:29" ht="34.5" customHeight="1">
      <c r="A2" s="164" t="s">
        <v>162</v>
      </c>
      <c r="B2" s="165" t="s">
        <v>163</v>
      </c>
      <c r="C2" s="153"/>
      <c r="D2" s="154"/>
      <c r="E2" s="166" t="s">
        <v>176</v>
      </c>
      <c r="F2" s="153"/>
      <c r="G2" s="154"/>
      <c r="H2" s="167" t="s">
        <v>177</v>
      </c>
      <c r="I2" s="153"/>
      <c r="J2" s="154"/>
      <c r="K2" s="164" t="s">
        <v>166</v>
      </c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</row>
    <row r="3" spans="1:29" ht="26.25" customHeight="1">
      <c r="A3" s="151"/>
      <c r="B3" s="115" t="s">
        <v>5</v>
      </c>
      <c r="C3" s="115" t="s">
        <v>6</v>
      </c>
      <c r="D3" s="115" t="s">
        <v>7</v>
      </c>
      <c r="E3" s="115" t="s">
        <v>5</v>
      </c>
      <c r="F3" s="115" t="s">
        <v>6</v>
      </c>
      <c r="G3" s="115" t="s">
        <v>7</v>
      </c>
      <c r="H3" s="115" t="s">
        <v>5</v>
      </c>
      <c r="I3" s="115" t="s">
        <v>6</v>
      </c>
      <c r="J3" s="115" t="s">
        <v>7</v>
      </c>
      <c r="K3" s="151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</row>
    <row r="4" spans="1:29">
      <c r="A4" s="116" t="s">
        <v>8</v>
      </c>
      <c r="B4" s="117">
        <v>0</v>
      </c>
      <c r="C4" s="118">
        <v>3000000000</v>
      </c>
      <c r="D4" s="118">
        <f t="shared" ref="D4:D16" si="0">SUM(B4:C4)</f>
        <v>3000000000</v>
      </c>
      <c r="E4" s="168">
        <v>0</v>
      </c>
      <c r="F4" s="170">
        <v>3000000000</v>
      </c>
      <c r="G4" s="158"/>
      <c r="H4" s="159"/>
      <c r="I4" s="157">
        <f>1766210022.45+1693108143.42</f>
        <v>3459318165.8699999</v>
      </c>
      <c r="J4" s="158"/>
      <c r="K4" s="159"/>
      <c r="L4" s="160"/>
      <c r="M4" s="161"/>
      <c r="N4" s="162"/>
      <c r="O4" s="163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>
      <c r="A5" s="119" t="s">
        <v>10</v>
      </c>
      <c r="B5" s="120">
        <v>0</v>
      </c>
      <c r="C5" s="121">
        <v>4400000000</v>
      </c>
      <c r="D5" s="121">
        <f t="shared" si="0"/>
        <v>4400000000</v>
      </c>
      <c r="E5" s="169"/>
      <c r="F5" s="122">
        <v>4400000000</v>
      </c>
      <c r="G5" s="122">
        <f>SUM(E5:F5)</f>
        <v>4400000000</v>
      </c>
      <c r="H5" s="122">
        <v>0</v>
      </c>
      <c r="I5" s="122">
        <f>2000000000+282312603.74+2325834136.37+8387.5+981000000</f>
        <v>5589155127.6099997</v>
      </c>
      <c r="J5" s="122">
        <f>SUM(H5:I5)</f>
        <v>5589155127.6099997</v>
      </c>
      <c r="K5" s="122" t="s">
        <v>178</v>
      </c>
      <c r="L5" s="123"/>
      <c r="M5" s="123"/>
      <c r="N5" s="123"/>
      <c r="O5" s="15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 ht="14.25">
      <c r="A6" s="119" t="s">
        <v>12</v>
      </c>
      <c r="B6" s="124">
        <v>2375000000</v>
      </c>
      <c r="C6" s="125">
        <v>125000000</v>
      </c>
      <c r="D6" s="125">
        <f t="shared" si="0"/>
        <v>2500000000</v>
      </c>
      <c r="E6" s="126">
        <v>1013942010.26</v>
      </c>
      <c r="F6" s="126" t="s">
        <v>179</v>
      </c>
      <c r="G6" s="126">
        <v>2500000000</v>
      </c>
      <c r="H6" s="100">
        <v>1524101595.1700001</v>
      </c>
      <c r="I6" s="100" t="s">
        <v>180</v>
      </c>
      <c r="J6" s="100">
        <v>3076841320.5500002</v>
      </c>
      <c r="K6" s="100" t="s">
        <v>181</v>
      </c>
      <c r="L6" s="127"/>
      <c r="M6" s="128"/>
      <c r="N6" s="127"/>
      <c r="O6" s="127"/>
      <c r="P6" s="127"/>
      <c r="Q6" s="127"/>
      <c r="R6" s="127"/>
      <c r="S6" s="129"/>
      <c r="T6" s="127"/>
      <c r="U6" s="104">
        <v>760194656.66999996</v>
      </c>
      <c r="V6" s="127"/>
      <c r="W6" s="127"/>
      <c r="X6" s="127"/>
      <c r="Y6" s="127"/>
      <c r="Z6" s="127"/>
      <c r="AA6" s="127"/>
      <c r="AB6" s="127"/>
      <c r="AC6" s="127"/>
    </row>
    <row r="7" spans="1:29" ht="128.25">
      <c r="A7" s="119" t="s">
        <v>16</v>
      </c>
      <c r="B7" s="124">
        <v>1500000000</v>
      </c>
      <c r="C7" s="120">
        <v>0</v>
      </c>
      <c r="D7" s="121">
        <f t="shared" si="0"/>
        <v>1500000000</v>
      </c>
      <c r="E7" s="126">
        <v>767603444.46000004</v>
      </c>
      <c r="F7" s="126" t="s">
        <v>170</v>
      </c>
      <c r="G7" s="121">
        <v>1500000000</v>
      </c>
      <c r="H7" s="121">
        <v>1085910135.6600001</v>
      </c>
      <c r="I7" s="100" t="s">
        <v>182</v>
      </c>
      <c r="J7" s="100">
        <v>1846104792.3327999</v>
      </c>
      <c r="K7" s="105" t="s">
        <v>94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</row>
    <row r="8" spans="1:29" ht="85.5">
      <c r="A8" s="130" t="s">
        <v>20</v>
      </c>
      <c r="B8" s="120">
        <v>5000000000</v>
      </c>
      <c r="C8" s="120">
        <v>0</v>
      </c>
      <c r="D8" s="121">
        <f t="shared" si="0"/>
        <v>5000000000</v>
      </c>
      <c r="E8" s="120">
        <v>5000000000</v>
      </c>
      <c r="F8" s="120">
        <v>0</v>
      </c>
      <c r="G8" s="121">
        <f t="shared" ref="G8:G16" si="1">SUM(E8:F8)</f>
        <v>5000000000</v>
      </c>
      <c r="H8" s="120">
        <v>5000000000</v>
      </c>
      <c r="I8" s="120">
        <v>0</v>
      </c>
      <c r="J8" s="121">
        <f t="shared" ref="J8:J16" si="2">SUM(H8:I8)</f>
        <v>5000000000</v>
      </c>
      <c r="K8" s="131" t="s">
        <v>21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 ht="14.25">
      <c r="A9" s="130" t="s">
        <v>22</v>
      </c>
      <c r="B9" s="120">
        <v>1550000000</v>
      </c>
      <c r="C9" s="120">
        <v>0</v>
      </c>
      <c r="D9" s="121">
        <f t="shared" si="0"/>
        <v>1550000000</v>
      </c>
      <c r="E9" s="120">
        <v>1550000000</v>
      </c>
      <c r="F9" s="120">
        <v>0</v>
      </c>
      <c r="G9" s="121">
        <f t="shared" si="1"/>
        <v>1550000000</v>
      </c>
      <c r="H9" s="120">
        <v>1550000000</v>
      </c>
      <c r="I9" s="120">
        <v>0</v>
      </c>
      <c r="J9" s="121">
        <f t="shared" si="2"/>
        <v>1550000000</v>
      </c>
      <c r="K9" s="131" t="s">
        <v>172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 ht="71.25">
      <c r="A10" s="119" t="s">
        <v>24</v>
      </c>
      <c r="B10" s="120">
        <v>0</v>
      </c>
      <c r="C10" s="120">
        <v>2050000000</v>
      </c>
      <c r="D10" s="121">
        <f t="shared" si="0"/>
        <v>2050000000</v>
      </c>
      <c r="E10" s="120">
        <v>0</v>
      </c>
      <c r="F10" s="120">
        <v>2050000000</v>
      </c>
      <c r="G10" s="121">
        <f t="shared" si="1"/>
        <v>2050000000</v>
      </c>
      <c r="H10" s="120">
        <v>0</v>
      </c>
      <c r="I10" s="120">
        <v>2840504970.7399998</v>
      </c>
      <c r="J10" s="121">
        <f t="shared" si="2"/>
        <v>2840504970.7399998</v>
      </c>
      <c r="K10" s="131" t="s">
        <v>25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 ht="14.25">
      <c r="A11" s="119" t="s">
        <v>26</v>
      </c>
      <c r="B11" s="120">
        <v>0</v>
      </c>
      <c r="C11" s="120">
        <v>4950000000</v>
      </c>
      <c r="D11" s="121">
        <f t="shared" si="0"/>
        <v>4950000000</v>
      </c>
      <c r="E11" s="120">
        <v>0</v>
      </c>
      <c r="F11" s="120">
        <v>4950000000</v>
      </c>
      <c r="G11" s="121">
        <f t="shared" si="1"/>
        <v>4950000000</v>
      </c>
      <c r="H11" s="120">
        <v>0</v>
      </c>
      <c r="I11" s="120">
        <v>6535876296.1499996</v>
      </c>
      <c r="J11" s="121">
        <f t="shared" si="2"/>
        <v>6535876296.1499996</v>
      </c>
      <c r="K11" s="131" t="s">
        <v>183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</row>
    <row r="12" spans="1:29" ht="71.25">
      <c r="A12" s="119" t="s">
        <v>28</v>
      </c>
      <c r="B12" s="120">
        <v>0</v>
      </c>
      <c r="C12" s="120">
        <v>3650000000</v>
      </c>
      <c r="D12" s="121">
        <f t="shared" si="0"/>
        <v>3650000000</v>
      </c>
      <c r="E12" s="120">
        <v>0</v>
      </c>
      <c r="F12" s="120">
        <v>3650000000</v>
      </c>
      <c r="G12" s="121">
        <f t="shared" si="1"/>
        <v>3650000000</v>
      </c>
      <c r="H12" s="120">
        <v>0</v>
      </c>
      <c r="I12" s="120">
        <v>4432891834.6700001</v>
      </c>
      <c r="J12" s="121">
        <f t="shared" si="2"/>
        <v>4432891834.6700001</v>
      </c>
      <c r="K12" s="131" t="s">
        <v>29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</row>
    <row r="13" spans="1:29" ht="42.75">
      <c r="A13" s="119" t="s">
        <v>30</v>
      </c>
      <c r="B13" s="121">
        <v>135000000</v>
      </c>
      <c r="C13" s="120">
        <v>0</v>
      </c>
      <c r="D13" s="121">
        <f t="shared" si="0"/>
        <v>135000000</v>
      </c>
      <c r="E13" s="120">
        <v>135000000</v>
      </c>
      <c r="F13" s="120">
        <v>0</v>
      </c>
      <c r="G13" s="121">
        <f t="shared" si="1"/>
        <v>135000000</v>
      </c>
      <c r="H13" s="120">
        <v>166149431.31</v>
      </c>
      <c r="I13" s="120">
        <v>0</v>
      </c>
      <c r="J13" s="121">
        <f t="shared" si="2"/>
        <v>166149431.31</v>
      </c>
      <c r="K13" s="131" t="s">
        <v>184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1:29" ht="71.25">
      <c r="A14" s="119" t="s">
        <v>32</v>
      </c>
      <c r="B14" s="120">
        <v>0</v>
      </c>
      <c r="C14" s="121">
        <v>310000000</v>
      </c>
      <c r="D14" s="121">
        <f t="shared" si="0"/>
        <v>310000000</v>
      </c>
      <c r="E14" s="120">
        <v>0</v>
      </c>
      <c r="F14" s="120">
        <v>310000000</v>
      </c>
      <c r="G14" s="121">
        <f t="shared" si="1"/>
        <v>310000000</v>
      </c>
      <c r="H14" s="120">
        <v>0</v>
      </c>
      <c r="I14" s="120">
        <v>426538981.54000002</v>
      </c>
      <c r="J14" s="121">
        <f t="shared" si="2"/>
        <v>426538981.54000002</v>
      </c>
      <c r="K14" s="131" t="s">
        <v>29</v>
      </c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1:29" ht="14.25">
      <c r="A15" s="130" t="s">
        <v>33</v>
      </c>
      <c r="B15" s="120">
        <v>600000000</v>
      </c>
      <c r="C15" s="120">
        <v>100000000</v>
      </c>
      <c r="D15" s="121">
        <f t="shared" si="0"/>
        <v>700000000</v>
      </c>
      <c r="E15" s="120">
        <v>600000000</v>
      </c>
      <c r="F15" s="120">
        <v>100000000</v>
      </c>
      <c r="G15" s="121">
        <f t="shared" si="1"/>
        <v>700000000</v>
      </c>
      <c r="H15" s="120">
        <v>600000000</v>
      </c>
      <c r="I15" s="120">
        <v>100000000</v>
      </c>
      <c r="J15" s="121">
        <f t="shared" si="2"/>
        <v>700000000</v>
      </c>
      <c r="K15" s="131" t="s">
        <v>185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</row>
    <row r="16" spans="1:29" ht="28.5">
      <c r="A16" s="119" t="s">
        <v>35</v>
      </c>
      <c r="B16" s="121">
        <f>71040828+96619306</f>
        <v>167660134</v>
      </c>
      <c r="C16" s="120">
        <v>0</v>
      </c>
      <c r="D16" s="121">
        <f t="shared" si="0"/>
        <v>167660134</v>
      </c>
      <c r="E16" s="121">
        <f>71040828+96619306</f>
        <v>167660134</v>
      </c>
      <c r="F16" s="120">
        <v>0</v>
      </c>
      <c r="G16" s="121">
        <f t="shared" si="1"/>
        <v>167660134</v>
      </c>
      <c r="H16" s="121"/>
      <c r="I16" s="120">
        <f>87432542.01+118912909.23</f>
        <v>206345451.24000001</v>
      </c>
      <c r="J16" s="121">
        <f t="shared" si="2"/>
        <v>206345451.24000001</v>
      </c>
      <c r="K16" s="131" t="s">
        <v>186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1:29" ht="15.75" customHeight="1">
      <c r="A17" s="132" t="s">
        <v>37</v>
      </c>
      <c r="B17" s="133">
        <f t="shared" ref="B17:E17" si="3">SUM(B4:B16)</f>
        <v>11327660134</v>
      </c>
      <c r="C17" s="133">
        <f t="shared" si="3"/>
        <v>18585000000</v>
      </c>
      <c r="D17" s="133">
        <f t="shared" si="3"/>
        <v>29912660134</v>
      </c>
      <c r="E17" s="133">
        <f t="shared" si="3"/>
        <v>9234205588.7200012</v>
      </c>
      <c r="F17" s="133">
        <f>SUM(F4:F16)+1486057989.74+732396555.54</f>
        <v>20678454545.280003</v>
      </c>
      <c r="G17" s="133">
        <f t="shared" ref="G17:H17" si="4">SUM(G4:G16)</f>
        <v>26912660134</v>
      </c>
      <c r="H17" s="133">
        <f t="shared" si="4"/>
        <v>9926161162.1399994</v>
      </c>
      <c r="I17" s="133">
        <f>SUM(I4:I16)+1552739725.38+760194656.67</f>
        <v>25903565209.870003</v>
      </c>
      <c r="J17" s="133">
        <f>SUM(J4:J16)</f>
        <v>32370408206.142799</v>
      </c>
      <c r="K17" s="134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</row>
    <row r="18" spans="1:29" ht="14.25">
      <c r="A18" s="119" t="s">
        <v>38</v>
      </c>
      <c r="B18" s="120">
        <v>0</v>
      </c>
      <c r="C18" s="120">
        <v>1500000000</v>
      </c>
      <c r="D18" s="121">
        <f t="shared" ref="D18:D21" si="5">SUM(B18:C18)</f>
        <v>1500000000</v>
      </c>
      <c r="E18" s="120">
        <v>0</v>
      </c>
      <c r="F18" s="120">
        <v>1500000000</v>
      </c>
      <c r="G18" s="121">
        <f t="shared" ref="G18:G21" si="6">SUM(E18:F18)</f>
        <v>1500000000</v>
      </c>
      <c r="H18" s="120">
        <v>0</v>
      </c>
      <c r="I18" s="120">
        <v>1500000000</v>
      </c>
      <c r="J18" s="121">
        <f t="shared" ref="J18:J21" si="7">SUM(H18:I18)</f>
        <v>1500000000</v>
      </c>
      <c r="K18" s="121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14.25">
      <c r="A19" s="119" t="s">
        <v>39</v>
      </c>
      <c r="B19" s="121">
        <v>4392583672</v>
      </c>
      <c r="C19" s="120">
        <v>0</v>
      </c>
      <c r="D19" s="121">
        <f t="shared" si="5"/>
        <v>4392583672</v>
      </c>
      <c r="E19" s="120">
        <v>4392583672</v>
      </c>
      <c r="F19" s="120">
        <v>0</v>
      </c>
      <c r="G19" s="121">
        <f t="shared" si="6"/>
        <v>4392583672</v>
      </c>
      <c r="H19" s="120">
        <v>4392583672</v>
      </c>
      <c r="I19" s="120">
        <v>0</v>
      </c>
      <c r="J19" s="121">
        <f t="shared" si="7"/>
        <v>4392583672</v>
      </c>
      <c r="K19" s="121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1:29" ht="14.25">
      <c r="A20" s="119" t="s">
        <v>40</v>
      </c>
      <c r="B20" s="121">
        <v>1774471573</v>
      </c>
      <c r="C20" s="120">
        <v>0</v>
      </c>
      <c r="D20" s="121">
        <f t="shared" si="5"/>
        <v>1774471573</v>
      </c>
      <c r="E20" s="120">
        <v>1774471573</v>
      </c>
      <c r="F20" s="120">
        <v>0</v>
      </c>
      <c r="G20" s="121">
        <f t="shared" si="6"/>
        <v>1774471573</v>
      </c>
      <c r="H20" s="120">
        <v>1774471573</v>
      </c>
      <c r="I20" s="120">
        <v>0</v>
      </c>
      <c r="J20" s="121">
        <f t="shared" si="7"/>
        <v>1774471573</v>
      </c>
      <c r="K20" s="121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ht="14.25">
      <c r="A21" s="119" t="s">
        <v>41</v>
      </c>
      <c r="B21" s="120">
        <v>0</v>
      </c>
      <c r="C21" s="121">
        <v>110051950</v>
      </c>
      <c r="D21" s="121">
        <f t="shared" si="5"/>
        <v>110051950</v>
      </c>
      <c r="E21" s="120">
        <v>0</v>
      </c>
      <c r="F21" s="120">
        <v>110051950</v>
      </c>
      <c r="G21" s="121">
        <f t="shared" si="6"/>
        <v>110051950</v>
      </c>
      <c r="H21" s="120">
        <v>0</v>
      </c>
      <c r="I21" s="120">
        <v>110051950</v>
      </c>
      <c r="J21" s="121">
        <f t="shared" si="7"/>
        <v>110051950</v>
      </c>
      <c r="K21" s="121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</row>
    <row r="22" spans="1:29" ht="15.75" customHeight="1">
      <c r="A22" s="132" t="s">
        <v>42</v>
      </c>
      <c r="B22" s="133">
        <f t="shared" ref="B22:J22" si="8">SUM(B18:B21)</f>
        <v>6167055245</v>
      </c>
      <c r="C22" s="133">
        <f t="shared" si="8"/>
        <v>1610051950</v>
      </c>
      <c r="D22" s="133">
        <f t="shared" si="8"/>
        <v>7777107195</v>
      </c>
      <c r="E22" s="133">
        <f t="shared" si="8"/>
        <v>6167055245</v>
      </c>
      <c r="F22" s="133">
        <f t="shared" si="8"/>
        <v>1610051950</v>
      </c>
      <c r="G22" s="133">
        <f t="shared" si="8"/>
        <v>7777107195</v>
      </c>
      <c r="H22" s="133">
        <f t="shared" si="8"/>
        <v>6167055245</v>
      </c>
      <c r="I22" s="133">
        <f t="shared" si="8"/>
        <v>1610051950</v>
      </c>
      <c r="J22" s="133">
        <f t="shared" si="8"/>
        <v>7777107195</v>
      </c>
      <c r="K22" s="134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</row>
    <row r="23" spans="1:29" ht="15.75" customHeight="1">
      <c r="A23" s="135" t="s">
        <v>43</v>
      </c>
      <c r="B23" s="136">
        <f t="shared" ref="B23:J23" si="9">B17+B22</f>
        <v>17494715379</v>
      </c>
      <c r="C23" s="136">
        <f t="shared" si="9"/>
        <v>20195051950</v>
      </c>
      <c r="D23" s="136">
        <f t="shared" si="9"/>
        <v>37689767329</v>
      </c>
      <c r="E23" s="136">
        <f t="shared" si="9"/>
        <v>15401260833.720001</v>
      </c>
      <c r="F23" s="136">
        <f t="shared" si="9"/>
        <v>22288506495.280003</v>
      </c>
      <c r="G23" s="136">
        <f t="shared" si="9"/>
        <v>34689767329</v>
      </c>
      <c r="H23" s="136">
        <f t="shared" si="9"/>
        <v>16093216407.139999</v>
      </c>
      <c r="I23" s="136">
        <f t="shared" si="9"/>
        <v>27513617159.870003</v>
      </c>
      <c r="J23" s="136">
        <f t="shared" si="9"/>
        <v>40147515401.142799</v>
      </c>
      <c r="K23" s="121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15.75" customHeigh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1:29" ht="15.75" customHeight="1">
      <c r="A25" s="137"/>
      <c r="B25" s="137"/>
      <c r="C25" s="137"/>
      <c r="D25" s="137"/>
      <c r="E25" s="137"/>
      <c r="F25" s="137"/>
      <c r="G25" s="137"/>
      <c r="H25" s="137"/>
      <c r="I25" s="137"/>
      <c r="J25" s="137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ht="15.75" customHeight="1">
      <c r="A26" s="137"/>
      <c r="B26" s="137"/>
      <c r="C26" s="137"/>
      <c r="D26" s="137"/>
      <c r="E26" s="137"/>
      <c r="F26" s="40"/>
      <c r="G26" s="137"/>
      <c r="H26" s="137"/>
      <c r="I26" s="40"/>
      <c r="J26" s="137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15.75" customHeight="1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15.75" customHeight="1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15.75" customHeight="1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15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15.75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15.75" customHeigh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15.7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1:29" ht="15.75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</row>
    <row r="35" spans="1:29" ht="15.7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</row>
    <row r="36" spans="1:29" ht="15.7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</row>
    <row r="37" spans="1:29" ht="15.7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1:29" ht="15.7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1:29" ht="15.7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</row>
    <row r="40" spans="1:29" ht="15.7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1:29" ht="15.7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1:29" ht="15.7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1:29" ht="15.7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29" ht="15.7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29" ht="15.7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29" ht="15.7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 ht="15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29" ht="15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1:29" ht="15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1:29" ht="15.7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1:29" ht="15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</row>
    <row r="52" spans="1:29" ht="15.7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1:29" ht="15.7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1:29" ht="15.7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</row>
    <row r="55" spans="1:29" ht="15.7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1:29" ht="15.7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1:29" ht="15.7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</row>
    <row r="58" spans="1:29" ht="15.7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1:29" ht="15.75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1:29" ht="15.75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1:29" ht="15.75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1:29" ht="15.75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1:29" ht="15.75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</row>
    <row r="64" spans="1:29" ht="15.7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</row>
    <row r="65" spans="1:29" ht="15.7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</row>
    <row r="66" spans="1:29" ht="15.7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</row>
    <row r="67" spans="1:29" ht="15.7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</row>
    <row r="68" spans="1:29" ht="15.7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</row>
    <row r="69" spans="1:29" ht="15.7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</row>
    <row r="70" spans="1:29" ht="15.7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</row>
    <row r="71" spans="1:29" ht="15.7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</row>
    <row r="72" spans="1:29" ht="15.7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</row>
    <row r="73" spans="1:29" ht="15.7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</row>
    <row r="74" spans="1:29" ht="15.7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</row>
    <row r="75" spans="1:29" ht="15.7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</row>
    <row r="76" spans="1:29" ht="15.7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</row>
    <row r="77" spans="1:29" ht="15.7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</row>
    <row r="78" spans="1:29" ht="15.7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</row>
    <row r="79" spans="1:29" ht="15.7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</row>
    <row r="80" spans="1:29" ht="15.7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</row>
    <row r="81" spans="1:29" ht="15.7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</row>
    <row r="82" spans="1:29" ht="15.7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</row>
    <row r="83" spans="1:29" ht="15.7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</row>
    <row r="84" spans="1:29" ht="15.7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</row>
    <row r="85" spans="1:29" ht="15.7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</row>
    <row r="86" spans="1:29" ht="15.7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</row>
    <row r="87" spans="1:29" ht="15.7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</row>
    <row r="88" spans="1:29" ht="15.7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</row>
    <row r="89" spans="1:29" ht="15.7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</row>
    <row r="90" spans="1:29" ht="15.7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</row>
    <row r="91" spans="1:29" ht="15.7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5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</row>
    <row r="93" spans="1:29" ht="15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</row>
    <row r="94" spans="1:29" ht="15.7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</row>
    <row r="95" spans="1:29" ht="15.7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</row>
    <row r="96" spans="1:29" ht="15.7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5.7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</row>
    <row r="98" spans="1:29" ht="15.7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</row>
    <row r="99" spans="1:29" ht="15.7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</row>
    <row r="100" spans="1:29" ht="15.7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</row>
    <row r="101" spans="1:29" ht="15.7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</row>
    <row r="102" spans="1:29" ht="15.7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</row>
    <row r="103" spans="1:29" ht="15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</row>
    <row r="104" spans="1:29" ht="15.7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</row>
    <row r="105" spans="1:29" ht="15.7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</row>
    <row r="106" spans="1:29" ht="15.7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</row>
    <row r="107" spans="1:29" ht="15.7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</row>
    <row r="108" spans="1:29" ht="15.7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</row>
    <row r="109" spans="1:29" ht="15.7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</row>
    <row r="110" spans="1:29" ht="15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</row>
    <row r="111" spans="1:29" ht="15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</row>
    <row r="112" spans="1:29" ht="15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</row>
    <row r="113" spans="1:29" ht="15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</row>
    <row r="114" spans="1:29" ht="15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</row>
    <row r="115" spans="1:29" ht="15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</row>
    <row r="116" spans="1:29" ht="15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</row>
    <row r="117" spans="1:29" ht="15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</row>
    <row r="118" spans="1:29" ht="15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</row>
    <row r="119" spans="1:29" ht="15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</row>
    <row r="120" spans="1:29" ht="15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</row>
    <row r="121" spans="1:29" ht="15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</row>
    <row r="122" spans="1:29" ht="15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</row>
    <row r="123" spans="1:29" ht="15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</row>
    <row r="124" spans="1:29" ht="15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</row>
    <row r="125" spans="1:29" ht="15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</row>
    <row r="126" spans="1:29" ht="15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</row>
    <row r="127" spans="1:29" ht="15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</row>
    <row r="128" spans="1:29" ht="15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</row>
    <row r="129" spans="1:29" ht="15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</row>
    <row r="130" spans="1:29" ht="15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</row>
    <row r="131" spans="1:29" ht="15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</row>
    <row r="132" spans="1:29" ht="15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</row>
    <row r="133" spans="1:29" ht="15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</row>
    <row r="134" spans="1:29" ht="15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</row>
    <row r="135" spans="1:29" ht="15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</row>
    <row r="136" spans="1:29" ht="15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</row>
    <row r="137" spans="1:29" ht="15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</row>
    <row r="138" spans="1:29" ht="15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</row>
    <row r="139" spans="1:29" ht="15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</row>
    <row r="140" spans="1:29" ht="15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</row>
    <row r="141" spans="1:29" ht="15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</row>
    <row r="142" spans="1:29" ht="15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</row>
    <row r="143" spans="1:29" ht="15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</row>
    <row r="144" spans="1:29" ht="15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</row>
    <row r="145" spans="1:29" ht="15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</row>
    <row r="146" spans="1:29" ht="15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</row>
    <row r="147" spans="1:29" ht="15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</row>
    <row r="148" spans="1:29" ht="15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</row>
    <row r="149" spans="1:29" ht="15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</row>
    <row r="150" spans="1:29" ht="15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</row>
    <row r="151" spans="1:29" ht="15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</row>
    <row r="152" spans="1:29" ht="15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</row>
    <row r="153" spans="1:29" ht="15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</row>
    <row r="154" spans="1:29" ht="15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</row>
    <row r="155" spans="1:29" ht="15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</row>
    <row r="156" spans="1:29" ht="15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</row>
    <row r="157" spans="1:29" ht="15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</row>
    <row r="158" spans="1:29" ht="15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</row>
    <row r="159" spans="1:29" ht="15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</row>
    <row r="160" spans="1:29" ht="15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</row>
    <row r="161" spans="1:29" ht="15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</row>
    <row r="162" spans="1:29" ht="15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</row>
    <row r="163" spans="1:29" ht="15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</row>
    <row r="164" spans="1:29" ht="15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</row>
    <row r="165" spans="1:29" ht="15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</row>
    <row r="166" spans="1:29" ht="15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</row>
    <row r="167" spans="1:29" ht="15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</row>
    <row r="168" spans="1:29" ht="15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</row>
    <row r="169" spans="1:29" ht="15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</row>
    <row r="170" spans="1:29" ht="15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</row>
    <row r="171" spans="1:29" ht="15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</row>
    <row r="172" spans="1:29" ht="15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</row>
    <row r="173" spans="1:29" ht="15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</row>
    <row r="174" spans="1:29" ht="15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</row>
    <row r="175" spans="1:29" ht="15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</row>
    <row r="176" spans="1:29" ht="15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</row>
    <row r="177" spans="1:29" ht="15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</row>
    <row r="178" spans="1:29" ht="15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</row>
    <row r="179" spans="1:29" ht="15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</row>
    <row r="180" spans="1:29" ht="15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</row>
    <row r="181" spans="1:29" ht="15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</row>
    <row r="182" spans="1:29" ht="15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</row>
    <row r="183" spans="1:29" ht="15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</row>
    <row r="184" spans="1:29" ht="15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</row>
    <row r="185" spans="1:29" ht="15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</row>
    <row r="186" spans="1:29" ht="15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</row>
    <row r="187" spans="1:29" ht="15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</row>
    <row r="188" spans="1:29" ht="15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</row>
    <row r="189" spans="1:29" ht="15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</row>
    <row r="190" spans="1:29" ht="15.7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</row>
    <row r="191" spans="1:29" ht="15.7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</row>
    <row r="192" spans="1:29" ht="15.7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</row>
    <row r="193" spans="1:29" ht="15.7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</row>
    <row r="194" spans="1:29" ht="15.7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</row>
    <row r="195" spans="1:29" ht="15.7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</row>
    <row r="196" spans="1:29" ht="15.7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</row>
    <row r="197" spans="1:29" ht="15.7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</row>
    <row r="198" spans="1:29" ht="15.7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</row>
    <row r="199" spans="1:29" ht="15.7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</row>
    <row r="200" spans="1:29" ht="15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</row>
    <row r="201" spans="1:29" ht="15.7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</row>
    <row r="202" spans="1:29" ht="15.7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</row>
    <row r="203" spans="1:29" ht="15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</row>
    <row r="204" spans="1:29" ht="15.7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</row>
    <row r="205" spans="1:29" ht="15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</row>
    <row r="206" spans="1:29" ht="15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</row>
    <row r="207" spans="1:29" ht="15.7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</row>
    <row r="208" spans="1:29" ht="15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</row>
    <row r="209" spans="1:29" ht="15.7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</row>
    <row r="210" spans="1:29" ht="15.7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</row>
    <row r="211" spans="1:29" ht="15.7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</row>
    <row r="212" spans="1:29" ht="15.7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</row>
    <row r="213" spans="1:29" ht="15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</row>
    <row r="214" spans="1:29" ht="15.7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</row>
    <row r="215" spans="1:29" ht="15.7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</row>
    <row r="216" spans="1:29" ht="15.7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</row>
    <row r="217" spans="1:29" ht="15.7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</row>
    <row r="218" spans="1:29" ht="15.7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</row>
    <row r="219" spans="1:29" ht="15.7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</row>
    <row r="220" spans="1:29" ht="15.7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</row>
    <row r="221" spans="1:29" ht="15.7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</row>
    <row r="222" spans="1:29" ht="15.7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</row>
    <row r="223" spans="1:29" ht="15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</row>
    <row r="224" spans="1:29" ht="15.7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</row>
    <row r="225" spans="1:29" ht="15.7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</row>
    <row r="226" spans="1:29" ht="15.7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</row>
    <row r="227" spans="1:29" ht="15.7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</row>
    <row r="228" spans="1:29" ht="15.7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</row>
    <row r="229" spans="1:29" ht="15.7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</row>
    <row r="230" spans="1:29" ht="15.7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</row>
    <row r="231" spans="1:29" ht="15.7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</row>
    <row r="232" spans="1:29" ht="15.7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</row>
    <row r="233" spans="1:29" ht="15.7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</row>
    <row r="234" spans="1:29" ht="15.7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</row>
    <row r="235" spans="1:29" ht="15.7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</row>
    <row r="236" spans="1:29" ht="15.7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</row>
    <row r="237" spans="1:29" ht="15.7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</row>
    <row r="238" spans="1:29" ht="15.7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</row>
    <row r="239" spans="1:29" ht="15.7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</row>
    <row r="240" spans="1:29" ht="15.7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</row>
    <row r="241" spans="1:29" ht="15.7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</row>
    <row r="242" spans="1:29" ht="15.7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</row>
    <row r="243" spans="1:29" ht="15.7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</row>
    <row r="244" spans="1:29" ht="15.7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</row>
    <row r="245" spans="1:29" ht="15.7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</row>
    <row r="246" spans="1:29" ht="15.7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</row>
    <row r="247" spans="1:29" ht="15.7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</row>
    <row r="248" spans="1:29" ht="15.7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</row>
    <row r="249" spans="1:29" ht="15.7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</row>
    <row r="250" spans="1:29" ht="15.7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</row>
    <row r="251" spans="1:29" ht="15.7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</row>
    <row r="252" spans="1:29" ht="15.7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</row>
    <row r="253" spans="1:29" ht="15.7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</row>
    <row r="254" spans="1:29" ht="15.7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</row>
    <row r="255" spans="1:29" ht="15.7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</row>
    <row r="256" spans="1:29" ht="15.7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ht="15.7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ht="15.7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ht="15.7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ht="15.7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ht="15.7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ht="15.7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ht="15.7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ht="15.7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ht="15.7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ht="15.7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ht="15.7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ht="15.7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ht="15.7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ht="15.7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ht="15.7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ht="15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ht="15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ht="15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ht="15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ht="15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1:29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1:29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1:29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1:29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1:29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1:29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1:29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1:29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</row>
    <row r="329" spans="1:29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</row>
    <row r="330" spans="1:29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</row>
    <row r="331" spans="1:29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</row>
    <row r="332" spans="1:29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</row>
    <row r="333" spans="1:29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</row>
    <row r="334" spans="1:29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</row>
    <row r="335" spans="1:29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</row>
    <row r="336" spans="1:29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</row>
    <row r="337" spans="1:29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</row>
    <row r="338" spans="1:29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</row>
    <row r="339" spans="1:29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</row>
    <row r="340" spans="1:29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</row>
    <row r="341" spans="1:29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</row>
    <row r="342" spans="1:29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</row>
    <row r="343" spans="1:29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</row>
    <row r="472" spans="1:29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</row>
    <row r="473" spans="1:29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</row>
    <row r="474" spans="1:29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</row>
    <row r="475" spans="1:29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</row>
    <row r="476" spans="1:29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</row>
    <row r="477" spans="1:29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</row>
    <row r="478" spans="1:29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</row>
    <row r="479" spans="1:29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</row>
    <row r="480" spans="1:29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</row>
    <row r="481" spans="1:29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</row>
    <row r="482" spans="1:29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</row>
    <row r="483" spans="1:29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</row>
    <row r="484" spans="1:29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</row>
    <row r="485" spans="1:29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</row>
    <row r="486" spans="1:29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</row>
    <row r="487" spans="1:29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</row>
    <row r="488" spans="1:29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</row>
    <row r="489" spans="1:29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</row>
    <row r="490" spans="1:29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</row>
    <row r="491" spans="1:29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</row>
    <row r="492" spans="1:29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</row>
    <row r="493" spans="1:29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</row>
    <row r="494" spans="1:29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</row>
    <row r="495" spans="1:29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</row>
    <row r="496" spans="1:29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</row>
    <row r="497" spans="1:29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</row>
    <row r="498" spans="1:29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</row>
    <row r="499" spans="1:29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</row>
    <row r="500" spans="1:29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</row>
    <row r="501" spans="1:29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</row>
    <row r="502" spans="1:29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</row>
    <row r="503" spans="1:29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</row>
    <row r="504" spans="1:29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</row>
    <row r="505" spans="1:29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</row>
    <row r="506" spans="1:29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</row>
    <row r="507" spans="1:29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</row>
    <row r="508" spans="1:29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</row>
    <row r="509" spans="1:29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</row>
    <row r="510" spans="1:29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</row>
    <row r="511" spans="1:29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</row>
    <row r="512" spans="1:29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</row>
    <row r="513" spans="1:29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</row>
    <row r="514" spans="1:29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</row>
    <row r="515" spans="1:29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</row>
    <row r="516" spans="1:29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</row>
    <row r="517" spans="1:29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</row>
    <row r="518" spans="1:29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</row>
    <row r="519" spans="1:29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</row>
    <row r="520" spans="1:29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</row>
    <row r="521" spans="1:29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</row>
    <row r="522" spans="1:29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</row>
    <row r="523" spans="1:29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</row>
    <row r="524" spans="1:29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</row>
    <row r="525" spans="1:29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</row>
    <row r="526" spans="1:29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</row>
    <row r="527" spans="1:29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</row>
    <row r="528" spans="1:29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</row>
    <row r="529" spans="1:29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</row>
    <row r="530" spans="1:29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</row>
    <row r="531" spans="1:29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</row>
    <row r="532" spans="1:29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</row>
    <row r="533" spans="1:29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</row>
    <row r="534" spans="1:29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</row>
    <row r="535" spans="1:29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</row>
    <row r="536" spans="1:29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</row>
    <row r="537" spans="1:29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</row>
    <row r="538" spans="1:29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</row>
    <row r="539" spans="1:29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</row>
    <row r="540" spans="1:29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</row>
    <row r="541" spans="1:29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</row>
    <row r="542" spans="1:29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</row>
    <row r="543" spans="1:29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</row>
    <row r="544" spans="1:29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</row>
    <row r="545" spans="1:29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</row>
    <row r="546" spans="1:29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</row>
    <row r="547" spans="1:29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</row>
    <row r="548" spans="1:29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</row>
    <row r="549" spans="1:29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</row>
    <row r="550" spans="1:29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</row>
    <row r="551" spans="1:29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</row>
    <row r="552" spans="1:29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</row>
    <row r="553" spans="1:29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</row>
    <row r="554" spans="1:29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</row>
    <row r="555" spans="1:29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</row>
    <row r="556" spans="1:29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</row>
    <row r="557" spans="1:29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</row>
    <row r="558" spans="1:29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</row>
    <row r="559" spans="1:29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</row>
    <row r="560" spans="1:29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</row>
    <row r="561" spans="1:29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</row>
    <row r="562" spans="1:29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</row>
    <row r="563" spans="1:29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</row>
    <row r="564" spans="1:29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</row>
    <row r="565" spans="1:29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</row>
    <row r="566" spans="1:29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</row>
    <row r="567" spans="1:29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</row>
    <row r="568" spans="1:29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</row>
    <row r="569" spans="1:29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</row>
    <row r="570" spans="1:29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</row>
    <row r="571" spans="1:29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</row>
    <row r="572" spans="1:29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</row>
    <row r="573" spans="1:29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</row>
    <row r="574" spans="1:29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</row>
    <row r="575" spans="1:29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</row>
    <row r="576" spans="1:29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</row>
    <row r="577" spans="1:29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</row>
    <row r="578" spans="1:29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</row>
    <row r="579" spans="1:29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</row>
    <row r="580" spans="1:29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</row>
    <row r="581" spans="1:29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</row>
    <row r="582" spans="1:29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</row>
    <row r="583" spans="1:29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</row>
    <row r="584" spans="1:29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</row>
    <row r="585" spans="1:29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</row>
    <row r="586" spans="1:29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</row>
    <row r="587" spans="1:29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</row>
    <row r="588" spans="1:29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</row>
    <row r="589" spans="1:29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</row>
    <row r="590" spans="1:29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</row>
    <row r="591" spans="1:29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</row>
    <row r="592" spans="1:29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</row>
    <row r="593" spans="1:29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</row>
    <row r="594" spans="1:29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</row>
    <row r="595" spans="1:29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</row>
    <row r="596" spans="1:29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</row>
    <row r="597" spans="1:29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</row>
    <row r="598" spans="1:29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</row>
    <row r="599" spans="1:29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</row>
    <row r="600" spans="1:29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</row>
    <row r="601" spans="1:29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</row>
    <row r="602" spans="1:29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</row>
    <row r="603" spans="1:29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</row>
    <row r="604" spans="1:29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</row>
    <row r="605" spans="1:29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</row>
    <row r="606" spans="1:29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</row>
    <row r="607" spans="1:29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</row>
    <row r="608" spans="1:29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</row>
    <row r="609" spans="1:29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</row>
    <row r="610" spans="1:29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</row>
    <row r="611" spans="1:29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</row>
    <row r="612" spans="1:29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</row>
    <row r="613" spans="1:29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</row>
    <row r="614" spans="1:29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</row>
    <row r="615" spans="1:29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</row>
    <row r="616" spans="1:29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</row>
    <row r="617" spans="1:29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</row>
    <row r="618" spans="1:29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</row>
    <row r="619" spans="1:29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</row>
    <row r="620" spans="1:29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</row>
    <row r="621" spans="1:29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</row>
    <row r="622" spans="1:29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</row>
    <row r="623" spans="1:29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</row>
    <row r="624" spans="1:29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</row>
    <row r="625" spans="1:29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</row>
    <row r="626" spans="1:29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</row>
    <row r="627" spans="1:29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</row>
    <row r="628" spans="1:29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</row>
    <row r="629" spans="1:29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</row>
    <row r="630" spans="1:29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</row>
    <row r="631" spans="1:29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</row>
    <row r="632" spans="1:29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</row>
    <row r="633" spans="1:29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</row>
    <row r="634" spans="1:29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</row>
    <row r="635" spans="1:29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</row>
    <row r="636" spans="1:29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</row>
    <row r="637" spans="1:29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</row>
    <row r="638" spans="1:29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</row>
    <row r="639" spans="1:29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</row>
    <row r="640" spans="1:29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</row>
    <row r="641" spans="1:29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</row>
    <row r="642" spans="1:29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</row>
    <row r="643" spans="1:29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</row>
    <row r="644" spans="1:29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</row>
    <row r="645" spans="1:29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</row>
    <row r="646" spans="1:29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</row>
    <row r="647" spans="1:29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</row>
    <row r="648" spans="1:29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</row>
    <row r="649" spans="1:29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</row>
    <row r="650" spans="1:29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</row>
    <row r="651" spans="1:29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</row>
    <row r="652" spans="1:29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</row>
    <row r="653" spans="1:29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</row>
    <row r="654" spans="1:29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</row>
    <row r="655" spans="1:29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</row>
    <row r="656" spans="1:29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</row>
    <row r="657" spans="1:29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</row>
    <row r="658" spans="1:29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</row>
    <row r="659" spans="1:29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</row>
    <row r="660" spans="1:29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</row>
    <row r="661" spans="1:29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</row>
    <row r="662" spans="1:29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</row>
    <row r="663" spans="1:29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</row>
    <row r="664" spans="1:29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</row>
    <row r="665" spans="1:29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</row>
    <row r="666" spans="1:29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</row>
    <row r="667" spans="1:29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</row>
    <row r="668" spans="1:29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</row>
    <row r="669" spans="1:29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</row>
    <row r="670" spans="1:29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</row>
    <row r="671" spans="1:29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</row>
    <row r="672" spans="1:29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</row>
    <row r="673" spans="1:29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</row>
    <row r="674" spans="1:29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</row>
    <row r="675" spans="1:29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</row>
    <row r="676" spans="1:29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</row>
    <row r="677" spans="1:29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</row>
    <row r="678" spans="1:29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</row>
    <row r="679" spans="1:29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</row>
    <row r="680" spans="1:29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</row>
    <row r="681" spans="1:29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</row>
    <row r="682" spans="1:29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</row>
    <row r="683" spans="1:29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</row>
    <row r="684" spans="1:29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</row>
    <row r="685" spans="1:29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</row>
    <row r="686" spans="1:29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</row>
    <row r="687" spans="1:29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</row>
    <row r="688" spans="1:29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</row>
    <row r="689" spans="1:29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</row>
    <row r="690" spans="1:29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</row>
    <row r="691" spans="1:29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</row>
    <row r="692" spans="1:29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</row>
    <row r="693" spans="1:29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</row>
    <row r="694" spans="1:29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</row>
    <row r="695" spans="1:29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</row>
    <row r="696" spans="1:29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</row>
    <row r="697" spans="1:29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</row>
    <row r="698" spans="1:29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</row>
    <row r="699" spans="1:29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</row>
    <row r="700" spans="1:29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</row>
    <row r="701" spans="1:29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</row>
    <row r="702" spans="1:29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</row>
    <row r="703" spans="1:29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</row>
    <row r="704" spans="1:29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</row>
    <row r="705" spans="1:29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</row>
    <row r="706" spans="1:29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</row>
    <row r="707" spans="1:29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</row>
    <row r="708" spans="1:29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</row>
    <row r="709" spans="1:29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</row>
    <row r="710" spans="1:29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</row>
    <row r="711" spans="1:29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</row>
    <row r="712" spans="1:29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</row>
    <row r="713" spans="1:29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</row>
    <row r="714" spans="1:29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</row>
    <row r="715" spans="1:29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</row>
    <row r="716" spans="1:29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</row>
    <row r="717" spans="1:29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</row>
    <row r="718" spans="1:29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</row>
    <row r="719" spans="1:29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</row>
    <row r="720" spans="1:29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</row>
    <row r="721" spans="1:29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</row>
    <row r="722" spans="1:29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</row>
    <row r="723" spans="1:29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</row>
    <row r="724" spans="1:29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</row>
    <row r="725" spans="1:29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</row>
    <row r="726" spans="1:29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</row>
    <row r="727" spans="1:29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</row>
    <row r="728" spans="1:29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</row>
    <row r="729" spans="1:29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</row>
    <row r="730" spans="1:29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</row>
    <row r="731" spans="1:29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</row>
    <row r="732" spans="1:29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</row>
    <row r="733" spans="1:29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</row>
    <row r="734" spans="1:29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</row>
    <row r="735" spans="1:29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</row>
    <row r="736" spans="1:29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</row>
    <row r="737" spans="1:29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</row>
    <row r="738" spans="1:29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</row>
    <row r="739" spans="1:29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</row>
    <row r="740" spans="1:29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</row>
    <row r="741" spans="1:29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</row>
    <row r="742" spans="1:29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</row>
    <row r="743" spans="1:29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</row>
    <row r="744" spans="1:29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</row>
    <row r="745" spans="1:29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</row>
    <row r="746" spans="1:29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</row>
    <row r="747" spans="1:29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</row>
    <row r="748" spans="1:29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</row>
    <row r="749" spans="1:29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</row>
    <row r="750" spans="1:29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</row>
    <row r="751" spans="1:29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</row>
    <row r="752" spans="1:29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</row>
    <row r="753" spans="1:29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</row>
    <row r="754" spans="1:29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</row>
    <row r="755" spans="1:29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</row>
    <row r="756" spans="1:29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</row>
    <row r="757" spans="1:29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</row>
    <row r="758" spans="1:29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</row>
    <row r="759" spans="1:29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</row>
    <row r="760" spans="1:29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</row>
    <row r="761" spans="1:29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</row>
    <row r="762" spans="1:29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</row>
    <row r="763" spans="1:29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</row>
    <row r="764" spans="1:29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</row>
    <row r="765" spans="1:29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</row>
    <row r="766" spans="1:29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</row>
    <row r="767" spans="1:29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</row>
    <row r="768" spans="1:29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</row>
    <row r="769" spans="1:29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</row>
    <row r="770" spans="1:29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</row>
    <row r="771" spans="1:29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</row>
    <row r="772" spans="1:29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</row>
    <row r="773" spans="1:29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</row>
    <row r="774" spans="1:29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</row>
    <row r="775" spans="1:29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</row>
    <row r="776" spans="1:29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</row>
    <row r="777" spans="1:29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</row>
    <row r="778" spans="1:29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</row>
    <row r="779" spans="1:29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</row>
    <row r="780" spans="1:29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</row>
    <row r="781" spans="1:29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</row>
    <row r="782" spans="1:29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</row>
    <row r="783" spans="1:29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</row>
    <row r="784" spans="1:29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</row>
    <row r="785" spans="1:29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</row>
    <row r="786" spans="1:29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</row>
    <row r="787" spans="1:29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</row>
    <row r="788" spans="1:29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</row>
    <row r="789" spans="1:29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</row>
    <row r="790" spans="1:29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</row>
    <row r="791" spans="1:29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</row>
    <row r="792" spans="1:29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</row>
    <row r="793" spans="1:29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</row>
    <row r="794" spans="1:29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</row>
    <row r="795" spans="1:29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</row>
    <row r="796" spans="1:29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</row>
    <row r="797" spans="1:29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</row>
    <row r="798" spans="1:29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</row>
    <row r="799" spans="1:29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</row>
    <row r="800" spans="1:29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</row>
    <row r="801" spans="1:29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</row>
    <row r="802" spans="1:29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</row>
    <row r="803" spans="1:29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</row>
    <row r="804" spans="1:29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</row>
    <row r="805" spans="1:29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</row>
    <row r="806" spans="1:29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</row>
    <row r="807" spans="1:29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</row>
    <row r="808" spans="1:29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</row>
    <row r="809" spans="1:29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</row>
    <row r="810" spans="1:29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</row>
    <row r="811" spans="1:29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</row>
    <row r="812" spans="1:29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</row>
    <row r="813" spans="1:29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</row>
    <row r="814" spans="1:29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</row>
    <row r="815" spans="1:29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</row>
    <row r="816" spans="1:29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</row>
    <row r="817" spans="1:29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</row>
    <row r="818" spans="1:29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</row>
    <row r="819" spans="1:29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</row>
    <row r="820" spans="1:29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</row>
    <row r="821" spans="1:29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</row>
    <row r="822" spans="1:29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</row>
    <row r="823" spans="1:29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</row>
    <row r="824" spans="1:29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</row>
    <row r="825" spans="1:29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</row>
    <row r="826" spans="1:29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</row>
    <row r="827" spans="1:29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</row>
    <row r="828" spans="1:29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</row>
    <row r="829" spans="1:29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</row>
    <row r="830" spans="1:29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</row>
    <row r="831" spans="1:29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</row>
    <row r="832" spans="1:29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</row>
    <row r="833" spans="1:29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</row>
    <row r="834" spans="1:29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</row>
    <row r="835" spans="1:29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</row>
    <row r="836" spans="1:29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</row>
    <row r="837" spans="1:29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</row>
    <row r="838" spans="1:29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</row>
    <row r="839" spans="1:29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</row>
    <row r="840" spans="1:29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</row>
    <row r="841" spans="1:29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</row>
    <row r="842" spans="1:29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</row>
    <row r="843" spans="1:29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</row>
    <row r="844" spans="1:29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</row>
    <row r="845" spans="1:29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</row>
    <row r="846" spans="1:29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</row>
    <row r="847" spans="1:29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</row>
    <row r="848" spans="1:29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</row>
    <row r="849" spans="1:29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</row>
    <row r="850" spans="1:29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</row>
    <row r="851" spans="1:29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</row>
    <row r="852" spans="1:29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</row>
    <row r="853" spans="1:29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</row>
    <row r="854" spans="1:29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</row>
    <row r="855" spans="1:29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</row>
    <row r="856" spans="1:29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</row>
    <row r="857" spans="1:29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</row>
    <row r="858" spans="1:29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</row>
    <row r="859" spans="1:29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</row>
    <row r="860" spans="1:29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</row>
    <row r="861" spans="1:29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</row>
    <row r="862" spans="1:29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</row>
    <row r="863" spans="1:29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</row>
    <row r="864" spans="1:29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</row>
    <row r="865" spans="1:29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</row>
    <row r="866" spans="1:29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</row>
    <row r="867" spans="1:29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</row>
    <row r="868" spans="1:29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</row>
    <row r="869" spans="1:29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</row>
    <row r="870" spans="1:29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</row>
    <row r="871" spans="1:29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</row>
    <row r="872" spans="1:29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</row>
    <row r="873" spans="1:29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</row>
    <row r="874" spans="1:29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</row>
    <row r="875" spans="1:29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</row>
    <row r="876" spans="1:29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</row>
    <row r="877" spans="1:29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</row>
    <row r="878" spans="1:29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</row>
    <row r="879" spans="1:29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</row>
    <row r="880" spans="1:29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</row>
    <row r="881" spans="1:29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</row>
    <row r="882" spans="1:29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</row>
    <row r="883" spans="1:29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</row>
    <row r="884" spans="1:29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</row>
    <row r="885" spans="1:29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</row>
    <row r="886" spans="1:29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</row>
    <row r="887" spans="1:29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</row>
    <row r="888" spans="1:29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</row>
    <row r="889" spans="1:29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</row>
    <row r="890" spans="1:29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</row>
    <row r="891" spans="1:29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</row>
    <row r="892" spans="1:29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</row>
    <row r="893" spans="1:29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</row>
    <row r="894" spans="1:29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</row>
    <row r="895" spans="1:29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</row>
    <row r="896" spans="1:29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</row>
    <row r="897" spans="1:29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</row>
    <row r="898" spans="1:29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</row>
    <row r="899" spans="1:29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</row>
    <row r="900" spans="1:29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</row>
    <row r="901" spans="1:29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</row>
    <row r="902" spans="1:29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</row>
    <row r="903" spans="1:29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</row>
    <row r="904" spans="1:29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</row>
    <row r="905" spans="1:29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</row>
    <row r="906" spans="1:29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</row>
    <row r="907" spans="1:29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</row>
    <row r="908" spans="1:29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</row>
    <row r="909" spans="1:29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</row>
    <row r="910" spans="1:29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</row>
    <row r="911" spans="1:29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</row>
    <row r="912" spans="1:29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</row>
    <row r="913" spans="1:29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</row>
    <row r="914" spans="1:29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</row>
    <row r="915" spans="1:29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</row>
    <row r="916" spans="1:29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</row>
    <row r="917" spans="1:29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</row>
    <row r="918" spans="1:29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</row>
    <row r="919" spans="1:29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</row>
    <row r="920" spans="1:29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</row>
    <row r="921" spans="1:29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</row>
    <row r="922" spans="1:29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</row>
    <row r="923" spans="1:29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</row>
    <row r="924" spans="1:29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</row>
    <row r="925" spans="1:29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</row>
    <row r="926" spans="1:29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</row>
    <row r="927" spans="1:29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</row>
    <row r="928" spans="1:29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</row>
    <row r="929" spans="1:29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</row>
    <row r="930" spans="1:29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</row>
    <row r="931" spans="1:29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</row>
    <row r="932" spans="1:29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</row>
    <row r="933" spans="1:29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</row>
    <row r="934" spans="1:29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</row>
    <row r="935" spans="1:29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</row>
    <row r="936" spans="1:29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</row>
    <row r="937" spans="1:29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</row>
    <row r="938" spans="1:29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</row>
    <row r="939" spans="1:29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</row>
    <row r="940" spans="1:29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</row>
    <row r="941" spans="1:29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</row>
    <row r="942" spans="1:29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</row>
    <row r="943" spans="1:29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</row>
    <row r="944" spans="1:29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</row>
    <row r="945" spans="1:29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</row>
    <row r="946" spans="1:29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</row>
    <row r="947" spans="1:29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</row>
    <row r="948" spans="1:29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</row>
    <row r="949" spans="1:29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</row>
    <row r="950" spans="1:29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</row>
    <row r="951" spans="1:29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</row>
    <row r="952" spans="1:29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</row>
    <row r="953" spans="1:29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</row>
    <row r="954" spans="1:29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</row>
    <row r="955" spans="1:29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</row>
    <row r="956" spans="1:29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</row>
    <row r="957" spans="1:29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</row>
    <row r="958" spans="1:29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</row>
    <row r="959" spans="1:29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</row>
    <row r="960" spans="1:29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</row>
    <row r="961" spans="1:29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</row>
    <row r="962" spans="1:29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</row>
    <row r="963" spans="1:29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</row>
    <row r="964" spans="1:29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</row>
    <row r="965" spans="1:29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</row>
    <row r="966" spans="1:29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</row>
    <row r="967" spans="1:29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</row>
    <row r="968" spans="1:29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</row>
    <row r="969" spans="1:29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</row>
    <row r="970" spans="1:29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</row>
    <row r="971" spans="1:29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</row>
    <row r="972" spans="1:29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</row>
    <row r="973" spans="1:29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</row>
    <row r="974" spans="1:29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</row>
    <row r="975" spans="1:29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</row>
    <row r="976" spans="1:29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</row>
    <row r="977" spans="1:29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</row>
    <row r="978" spans="1:29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</row>
    <row r="979" spans="1:29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</row>
    <row r="980" spans="1:29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</row>
    <row r="981" spans="1:29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</row>
    <row r="982" spans="1:29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</row>
    <row r="983" spans="1:29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</row>
    <row r="984" spans="1:29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</row>
    <row r="985" spans="1:29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</row>
    <row r="986" spans="1:29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</row>
    <row r="987" spans="1:29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</row>
    <row r="988" spans="1:29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</row>
    <row r="989" spans="1:29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</row>
    <row r="990" spans="1:29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</row>
    <row r="991" spans="1:29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</row>
    <row r="992" spans="1:29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</row>
    <row r="993" spans="1:29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</row>
    <row r="994" spans="1:29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</row>
    <row r="995" spans="1:29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</row>
    <row r="996" spans="1:29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</row>
    <row r="997" spans="1:29" ht="15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</row>
    <row r="998" spans="1:29" ht="15.7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</row>
    <row r="999" spans="1:29" ht="15.7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</row>
    <row r="1000" spans="1:29" ht="15.7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</row>
    <row r="1001" spans="1:29" ht="15.75" customHeight="1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</row>
    <row r="1002" spans="1:29" ht="15.75" customHeight="1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</row>
  </sheetData>
  <mergeCells count="10">
    <mergeCell ref="I4:K4"/>
    <mergeCell ref="L4:N4"/>
    <mergeCell ref="O4:O5"/>
    <mergeCell ref="A2:A3"/>
    <mergeCell ref="B2:D2"/>
    <mergeCell ref="E2:G2"/>
    <mergeCell ref="H2:J2"/>
    <mergeCell ref="K2:K3"/>
    <mergeCell ref="E4:E5"/>
    <mergeCell ref="F4:H4"/>
  </mergeCells>
  <pageMargins left="0.511811024" right="0.511811024" top="0.78740157499999996" bottom="0.78740157499999996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5"/>
  <sheetViews>
    <sheetView workbookViewId="0"/>
  </sheetViews>
  <sheetFormatPr defaultColWidth="12.625" defaultRowHeight="15" customHeight="1"/>
  <cols>
    <col min="1" max="1" width="15.25" customWidth="1"/>
  </cols>
  <sheetData>
    <row r="1" spans="1:1">
      <c r="A1" s="138">
        <v>1797281123.78</v>
      </c>
    </row>
    <row r="2" spans="1:1">
      <c r="A2" s="138">
        <v>1726813797.04</v>
      </c>
    </row>
    <row r="3" spans="1:1">
      <c r="A3" s="139">
        <f>A1-A2</f>
        <v>70467326.74000001</v>
      </c>
    </row>
    <row r="4" spans="1:1">
      <c r="A4" s="140">
        <v>1490517160.05</v>
      </c>
    </row>
    <row r="5" spans="1:1">
      <c r="A5" s="139">
        <f>A4+A3</f>
        <v>1560984486.79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44.75" customWidth="1"/>
    <col min="2" max="10" width="29.5" customWidth="1"/>
    <col min="11" max="11" width="58.625" customWidth="1"/>
    <col min="12" max="12" width="29.5" customWidth="1"/>
    <col min="13" max="28" width="44.87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1" t="s">
        <v>0</v>
      </c>
      <c r="B2" s="143" t="s">
        <v>1</v>
      </c>
      <c r="C2" s="144"/>
      <c r="D2" s="145"/>
      <c r="E2" s="143" t="s">
        <v>44</v>
      </c>
      <c r="F2" s="144"/>
      <c r="G2" s="145"/>
      <c r="H2" s="146" t="s">
        <v>45</v>
      </c>
      <c r="I2" s="144"/>
      <c r="J2" s="145"/>
      <c r="K2" s="147" t="s">
        <v>4</v>
      </c>
      <c r="L2" s="148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14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3" t="s">
        <v>9</v>
      </c>
      <c r="L4" s="42"/>
      <c r="M4" s="43"/>
      <c r="N4" s="43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</row>
    <row r="5" spans="1:28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2000000000+282312603.74+2325834136.37+8387.5+1204000000</f>
        <v>5812155127.6099997</v>
      </c>
      <c r="J5" s="19">
        <f t="shared" si="2"/>
        <v>5812155127.6099997</v>
      </c>
      <c r="K5" s="44" t="s">
        <v>47</v>
      </c>
      <c r="L5" s="42" t="s">
        <v>48</v>
      </c>
      <c r="M5" s="43"/>
      <c r="N5" s="43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ht="14.25">
      <c r="A6" s="15" t="s">
        <v>12</v>
      </c>
      <c r="B6" s="21">
        <v>2375000000</v>
      </c>
      <c r="C6" s="22">
        <v>125000000</v>
      </c>
      <c r="D6" s="22">
        <f t="shared" si="0"/>
        <v>2500000000</v>
      </c>
      <c r="E6" s="45">
        <v>632222229.26588202</v>
      </c>
      <c r="F6" s="45" t="s">
        <v>49</v>
      </c>
      <c r="G6" s="45">
        <v>2500000000</v>
      </c>
      <c r="H6" s="45">
        <v>1278035012.78</v>
      </c>
      <c r="I6" s="45" t="s">
        <v>50</v>
      </c>
      <c r="J6" s="45">
        <v>3245365754.6500001</v>
      </c>
      <c r="K6" s="46" t="s">
        <v>51</v>
      </c>
      <c r="L6" s="42" t="s">
        <v>52</v>
      </c>
      <c r="M6" s="43"/>
      <c r="N6" s="4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128.25">
      <c r="A7" s="20" t="s">
        <v>16</v>
      </c>
      <c r="B7" s="21">
        <v>1500000000</v>
      </c>
      <c r="C7" s="16">
        <v>0</v>
      </c>
      <c r="D7" s="17">
        <f t="shared" si="0"/>
        <v>1500000000</v>
      </c>
      <c r="E7" s="45">
        <v>646739875.01411796</v>
      </c>
      <c r="F7" s="45" t="s">
        <v>17</v>
      </c>
      <c r="G7" s="17">
        <v>1500000000</v>
      </c>
      <c r="H7" s="16">
        <v>1022939085.4400001</v>
      </c>
      <c r="I7" s="45" t="s">
        <v>53</v>
      </c>
      <c r="J7" s="16">
        <v>1947219452.79</v>
      </c>
      <c r="K7" s="47" t="s">
        <v>54</v>
      </c>
      <c r="L7" s="42" t="s">
        <v>52</v>
      </c>
      <c r="M7" s="48" t="s">
        <v>55</v>
      </c>
      <c r="N7" s="43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57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42"/>
      <c r="M8" s="43"/>
      <c r="N8" s="43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</row>
    <row r="9" spans="1:28" ht="313.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f>(1417001073-170000000-400000000)+211773067.2+503338675.12</f>
        <v>1562112815.3200002</v>
      </c>
      <c r="J9" s="17">
        <f t="shared" si="4"/>
        <v>1695111742.3200002</v>
      </c>
      <c r="K9" s="49" t="s">
        <v>56</v>
      </c>
      <c r="L9" s="42"/>
      <c r="M9" s="43"/>
      <c r="N9" s="43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</row>
    <row r="10" spans="1:28" ht="57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3154186288.0700002</v>
      </c>
      <c r="J10" s="17">
        <f t="shared" si="4"/>
        <v>3154186288.0700002</v>
      </c>
      <c r="K10" s="28" t="s">
        <v>25</v>
      </c>
      <c r="L10" s="42" t="s">
        <v>57</v>
      </c>
      <c r="M10" s="43"/>
      <c r="N10" s="43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pans="1:28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4311015252+(4*522082373.71)</f>
        <v>6399344746.8400002</v>
      </c>
      <c r="J11" s="17">
        <f t="shared" si="4"/>
        <v>6399344746.8400002</v>
      </c>
      <c r="K11" s="28" t="s">
        <v>27</v>
      </c>
      <c r="L11" s="42" t="s">
        <v>57</v>
      </c>
      <c r="M11" s="43"/>
      <c r="N11" s="43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</row>
    <row r="12" spans="1:28" ht="57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4686171731.0299997</v>
      </c>
      <c r="J12" s="17">
        <f t="shared" si="4"/>
        <v>4686171731.0299997</v>
      </c>
      <c r="K12" s="28" t="s">
        <v>29</v>
      </c>
      <c r="L12" s="42" t="s">
        <v>57</v>
      </c>
      <c r="M12" s="43"/>
      <c r="N12" s="43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</row>
    <row r="13" spans="1:28" ht="28.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175249750.75</v>
      </c>
      <c r="I13" s="16">
        <v>0</v>
      </c>
      <c r="J13" s="17">
        <f t="shared" si="4"/>
        <v>175249750.75</v>
      </c>
      <c r="K13" s="28" t="s">
        <v>31</v>
      </c>
      <c r="L13" s="42" t="s">
        <v>48</v>
      </c>
      <c r="M13" s="43"/>
      <c r="N13" s="43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</row>
    <row r="14" spans="1:28" ht="57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16">
        <v>469418517.42000002</v>
      </c>
      <c r="J14" s="17">
        <f t="shared" si="4"/>
        <v>469418517.42000002</v>
      </c>
      <c r="K14" s="28" t="s">
        <v>29</v>
      </c>
      <c r="L14" s="42" t="s">
        <v>57</v>
      </c>
      <c r="M14" s="43"/>
      <c r="N14" s="43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</row>
    <row r="15" spans="1:28" ht="14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28" t="s">
        <v>58</v>
      </c>
      <c r="L15" s="42"/>
      <c r="M15" s="43"/>
      <c r="N15" s="43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</row>
    <row r="16" spans="1:28" ht="28.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92221388.1494106+125425994.772368</f>
        <v>217647382.92177862</v>
      </c>
      <c r="I16" s="16"/>
      <c r="J16" s="17">
        <f t="shared" si="4"/>
        <v>217647382.92177862</v>
      </c>
      <c r="K16" s="28" t="s">
        <v>36</v>
      </c>
      <c r="L16" s="42"/>
      <c r="M16" s="43"/>
      <c r="N16" s="43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spans="1:28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7314621165.2799997</v>
      </c>
      <c r="F17" s="31">
        <f>SUM(F4:F16)+1867777770.73+853260124.99</f>
        <v>22598038968.720001</v>
      </c>
      <c r="G17" s="31">
        <f t="shared" ref="G17:H17" si="6">SUM(G4:G16)</f>
        <v>29912660134</v>
      </c>
      <c r="H17" s="31">
        <f t="shared" si="6"/>
        <v>8426870158.8917789</v>
      </c>
      <c r="I17" s="31">
        <f>SUM(I4:I16)+1967330741.87+919133221.31</f>
        <v>28529171355.339996</v>
      </c>
      <c r="J17" s="31">
        <f>SUM(J4:J16)</f>
        <v>36961188660.271774</v>
      </c>
      <c r="K17" s="50"/>
      <c r="L17" s="42"/>
      <c r="M17" s="51"/>
      <c r="N17" s="52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17"/>
      <c r="L18" s="53"/>
      <c r="M18" s="43"/>
      <c r="N18" s="43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</row>
    <row r="19" spans="1:28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17"/>
      <c r="L19" s="53"/>
      <c r="M19" s="43"/>
      <c r="N19" s="43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</row>
    <row r="20" spans="1:28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17"/>
      <c r="L20" s="53"/>
      <c r="M20" s="43"/>
      <c r="N20" s="43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17"/>
      <c r="L21" s="53"/>
      <c r="M21" s="43"/>
      <c r="N21" s="43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1:28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50"/>
      <c r="L22" s="53"/>
      <c r="M22" s="51"/>
      <c r="N22" s="51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5.75" customHeight="1">
      <c r="A23" s="54" t="s">
        <v>43</v>
      </c>
      <c r="B23" s="55">
        <f t="shared" ref="B23:J23" si="11">B17+B22</f>
        <v>17494715379</v>
      </c>
      <c r="C23" s="55">
        <f t="shared" si="11"/>
        <v>20195051950</v>
      </c>
      <c r="D23" s="55">
        <f t="shared" si="11"/>
        <v>37689767329</v>
      </c>
      <c r="E23" s="55">
        <f t="shared" si="11"/>
        <v>13481676410.279999</v>
      </c>
      <c r="F23" s="55">
        <f t="shared" si="11"/>
        <v>24208090918.720001</v>
      </c>
      <c r="G23" s="55">
        <f t="shared" si="11"/>
        <v>37689767329</v>
      </c>
      <c r="H23" s="55">
        <f t="shared" si="11"/>
        <v>14593925403.891779</v>
      </c>
      <c r="I23" s="55">
        <f t="shared" si="11"/>
        <v>30139223305.339996</v>
      </c>
      <c r="J23" s="55">
        <f t="shared" si="11"/>
        <v>44738295855.271774</v>
      </c>
      <c r="K23" s="17"/>
      <c r="L23" s="53"/>
      <c r="M23" s="43"/>
      <c r="N23" s="43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1:28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58"/>
      <c r="M24" s="58"/>
      <c r="N24" s="58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1:28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59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59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59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59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59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59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59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59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9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59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9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9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9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9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9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9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9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9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9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9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9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9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9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59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59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59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59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59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59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59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59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59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59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59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59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59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59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59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59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59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59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59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59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59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59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59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59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59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59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59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59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59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59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59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59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59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59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59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59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59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59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59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59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59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59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59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59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59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59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59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59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59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59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59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59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59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59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59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59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59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59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59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59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59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59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59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59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59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59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59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59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59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59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59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59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59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59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59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59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59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59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59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59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59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59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59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59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59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59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59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59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59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59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59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59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59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59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59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59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59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59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59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59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59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59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59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59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59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59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59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59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59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59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59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59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59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59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59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59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59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59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59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59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59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59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59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59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59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59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59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59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59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59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59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59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59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59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59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59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59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59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59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59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59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59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59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59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59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59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59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59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59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59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59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59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59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59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59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59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59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59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59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59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59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59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59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59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59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59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59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59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59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59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59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59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59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59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59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59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59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59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59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59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59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59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59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59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59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59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59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59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59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59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59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59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59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59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59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59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59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59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59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59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59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59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59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59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59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59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59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59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59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59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59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59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59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59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59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59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59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59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59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59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59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59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59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59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59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59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59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59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59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59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59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59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59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59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59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59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59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59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59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59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59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59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59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59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59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59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59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59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59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59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59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59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59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59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59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59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59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59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59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59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59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59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59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59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59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59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59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59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59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59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59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59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59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59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59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59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59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59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59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59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59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59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59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59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59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59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59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59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59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59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59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59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59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59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59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59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59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59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59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59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59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59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59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59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59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59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59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59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59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59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59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59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59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59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59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59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59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59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59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59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59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59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59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59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59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59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59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59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59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59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59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59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59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59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59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59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59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59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59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59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59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59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59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59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59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59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59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59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59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59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59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59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59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59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59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59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59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59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59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59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59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59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59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59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59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59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59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59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59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59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59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59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59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59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59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59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59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59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59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59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59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59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59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59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59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59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59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59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59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59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59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59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59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59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59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59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59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59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59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59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59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59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59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59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59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59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59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59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59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59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59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59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59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59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59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59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59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59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59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59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59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59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59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59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59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59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59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59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59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59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59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59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59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59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59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59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59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59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59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59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59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59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59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59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59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59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59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59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59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59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59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59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59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59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59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59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59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59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59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59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59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59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59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59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59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59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59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59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59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59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59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59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59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59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59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59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59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59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59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59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59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59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59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59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59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59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59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59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59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59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59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59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59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59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59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59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59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59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59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59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59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59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59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59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59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59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59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59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59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59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59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59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59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59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59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59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59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59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59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59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59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59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59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59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59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59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59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59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59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59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59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59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59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59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59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59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59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59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59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59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59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59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59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59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59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59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59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59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59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59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59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59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59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59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59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59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59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59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59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59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59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59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59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59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59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59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59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59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59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59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59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59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59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59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59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59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59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59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59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59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59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59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59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59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59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59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59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59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59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59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59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59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59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59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59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59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59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59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59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59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59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59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59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59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59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59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59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59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59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59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59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59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59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59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59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59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59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59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59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59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59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59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59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59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59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59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59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59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59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59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59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59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59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59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59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59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59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59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59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59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59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59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59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59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59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59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59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59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59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59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59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59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59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59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59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59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59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59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59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59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59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59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59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59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59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59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59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59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59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59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59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59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59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59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59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59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59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59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59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59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59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59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59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59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59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59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59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59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59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59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59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59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59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59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59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59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59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59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59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59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59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59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59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59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59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59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59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59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59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59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59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7" priority="1">
      <formula>LEN(TRIM(L4))&gt;0</formula>
    </cfRule>
  </conditionalFormatting>
  <hyperlinks>
    <hyperlink ref="K5" r:id="rId1"/>
    <hyperlink ref="K6" r:id="rId2"/>
    <hyperlink ref="K7" r:id="rId3"/>
    <hyperlink ref="K9" r:id="rId4"/>
  </hyperlinks>
  <pageMargins left="0.511811024" right="0.511811024" top="0.78740157499999996" bottom="0.78740157499999996" header="0.31496062000000002" footer="0.31496062000000002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customWidth="1"/>
    <col min="13" max="13" width="16.75" customWidth="1"/>
    <col min="14" max="14" width="10.625" customWidth="1"/>
    <col min="15" max="28" width="8.62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1" t="s">
        <v>0</v>
      </c>
      <c r="B2" s="143" t="s">
        <v>1</v>
      </c>
      <c r="C2" s="144"/>
      <c r="D2" s="145"/>
      <c r="E2" s="143" t="s">
        <v>59</v>
      </c>
      <c r="F2" s="144"/>
      <c r="G2" s="145"/>
      <c r="H2" s="146" t="s">
        <v>60</v>
      </c>
      <c r="I2" s="144"/>
      <c r="J2" s="145"/>
      <c r="K2" s="147" t="s">
        <v>4</v>
      </c>
      <c r="L2" s="148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14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3" t="s">
        <v>9</v>
      </c>
      <c r="L4" s="42"/>
      <c r="M4" s="43"/>
      <c r="N4" s="43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</row>
    <row r="5" spans="1:28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2000000000+282312603.74+2325834136.37+8387.5+1190000000</f>
        <v>5798155127.6099997</v>
      </c>
      <c r="J5" s="19">
        <f t="shared" si="2"/>
        <v>5798155127.6099997</v>
      </c>
      <c r="K5" s="44" t="s">
        <v>61</v>
      </c>
      <c r="L5" s="42"/>
      <c r="M5" s="43"/>
      <c r="N5" s="43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ht="14.25">
      <c r="A6" s="15" t="s">
        <v>12</v>
      </c>
      <c r="B6" s="21">
        <v>2375000000</v>
      </c>
      <c r="C6" s="22">
        <v>125000000</v>
      </c>
      <c r="D6" s="22">
        <f t="shared" si="0"/>
        <v>2500000000</v>
      </c>
      <c r="E6" s="45">
        <v>686343941.11588204</v>
      </c>
      <c r="F6" s="45" t="s">
        <v>62</v>
      </c>
      <c r="G6" s="45">
        <v>2500000000</v>
      </c>
      <c r="H6" s="45">
        <v>1270917872.6977401</v>
      </c>
      <c r="I6" s="45" t="s">
        <v>63</v>
      </c>
      <c r="J6" s="45">
        <f>H6+1956375041.63686</f>
        <v>3227292914.3346</v>
      </c>
      <c r="K6" s="46" t="s">
        <v>64</v>
      </c>
      <c r="L6" s="42" t="s">
        <v>65</v>
      </c>
      <c r="M6" s="43"/>
      <c r="N6" s="4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199.5">
      <c r="A7" s="20" t="s">
        <v>16</v>
      </c>
      <c r="B7" s="21">
        <v>1500000000</v>
      </c>
      <c r="C7" s="16">
        <v>0</v>
      </c>
      <c r="D7" s="17">
        <f t="shared" si="0"/>
        <v>1500000000</v>
      </c>
      <c r="E7" s="45">
        <v>646739875.01411796</v>
      </c>
      <c r="F7" s="45" t="s">
        <v>66</v>
      </c>
      <c r="G7" s="17">
        <v>1500000000</v>
      </c>
      <c r="H7" s="16">
        <v>1017242527.28654</v>
      </c>
      <c r="I7" s="45" t="s">
        <v>67</v>
      </c>
      <c r="J7" s="17">
        <f>1936375748.60076</f>
        <v>1936375748.60076</v>
      </c>
      <c r="K7" s="47" t="s">
        <v>68</v>
      </c>
      <c r="L7" s="42" t="s">
        <v>65</v>
      </c>
      <c r="M7" s="48" t="s">
        <v>55</v>
      </c>
      <c r="N7" s="43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85.5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42"/>
      <c r="M8" s="43"/>
      <c r="N8" s="43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</row>
    <row r="9" spans="1:28" ht="409.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f>(1417001073-170000000-400000000)+211773067.2+503338675.12</f>
        <v>1562112815.3200002</v>
      </c>
      <c r="J9" s="17">
        <f t="shared" si="4"/>
        <v>1695111742.3200002</v>
      </c>
      <c r="K9" s="49" t="s">
        <v>69</v>
      </c>
      <c r="L9" s="42"/>
      <c r="M9" s="43"/>
      <c r="N9" s="43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</row>
    <row r="10" spans="1:28" ht="71.25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3124672575.7199998</v>
      </c>
      <c r="J10" s="17">
        <f t="shared" si="4"/>
        <v>3124672575.7199998</v>
      </c>
      <c r="K10" s="28" t="s">
        <v>25</v>
      </c>
      <c r="L10" s="42" t="s">
        <v>70</v>
      </c>
      <c r="M10" s="43"/>
      <c r="N10" s="43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pans="1:28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4287098367.43+(4*522082373.71)</f>
        <v>6375427862.2699995</v>
      </c>
      <c r="J11" s="17">
        <f t="shared" si="4"/>
        <v>6375427862.2699995</v>
      </c>
      <c r="K11" s="28" t="s">
        <v>27</v>
      </c>
      <c r="L11" s="42" t="s">
        <v>70</v>
      </c>
      <c r="M11" s="43"/>
      <c r="N11" s="43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</row>
    <row r="12" spans="1:28" ht="71.25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4665452323.3500004</v>
      </c>
      <c r="J12" s="17">
        <f t="shared" si="4"/>
        <v>4665452323.3500004</v>
      </c>
      <c r="K12" s="28" t="s">
        <v>29</v>
      </c>
      <c r="L12" s="42" t="s">
        <v>70</v>
      </c>
      <c r="M12" s="43"/>
      <c r="N12" s="43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</row>
    <row r="13" spans="1:28" ht="42.7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174273817.37</v>
      </c>
      <c r="I13" s="16">
        <v>0</v>
      </c>
      <c r="J13" s="17">
        <f t="shared" si="4"/>
        <v>174273817.37</v>
      </c>
      <c r="K13" s="28" t="s">
        <v>31</v>
      </c>
      <c r="L13" s="42"/>
      <c r="M13" s="43"/>
      <c r="N13" s="43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</row>
    <row r="14" spans="1:28" ht="71.25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16">
        <v>465451054.49000001</v>
      </c>
      <c r="J14" s="17">
        <f t="shared" si="4"/>
        <v>465451054.49000001</v>
      </c>
      <c r="K14" s="28" t="s">
        <v>29</v>
      </c>
      <c r="L14" s="42" t="s">
        <v>70</v>
      </c>
      <c r="M14" s="43"/>
      <c r="N14" s="43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</row>
    <row r="15" spans="1:28" ht="14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28" t="s">
        <v>71</v>
      </c>
      <c r="L15" s="42"/>
      <c r="M15" s="43"/>
      <c r="N15" s="43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</row>
    <row r="16" spans="1:28" ht="42.7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91707824.333145+124727520.65669</f>
        <v>216435344.98983499</v>
      </c>
      <c r="I16" s="16"/>
      <c r="J16" s="17">
        <f t="shared" si="4"/>
        <v>216435344.98983499</v>
      </c>
      <c r="K16" s="28" t="s">
        <v>36</v>
      </c>
      <c r="L16" s="42"/>
      <c r="M16" s="43"/>
      <c r="N16" s="43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spans="1:28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7368742877.1300001</v>
      </c>
      <c r="F17" s="31">
        <f>SUM(F4:F16)+1797281123.78+853260124.99</f>
        <v>22527542321.77</v>
      </c>
      <c r="G17" s="31">
        <f t="shared" ref="G17:H17" si="6">SUM(G4:G16)</f>
        <v>29912660134</v>
      </c>
      <c r="H17" s="31">
        <f t="shared" si="6"/>
        <v>8411868489.3441143</v>
      </c>
      <c r="I17" s="31">
        <f>SUM(I4:I16)+1956375041.63+919133221.31</f>
        <v>28426098187.570004</v>
      </c>
      <c r="J17" s="31">
        <f>SUM(J4:J16)</f>
        <v>36837966676.925201</v>
      </c>
      <c r="K17" s="50"/>
      <c r="L17" s="42"/>
      <c r="M17" s="51"/>
      <c r="N17" s="52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17"/>
      <c r="L18" s="53"/>
      <c r="M18" s="43"/>
      <c r="N18" s="43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</row>
    <row r="19" spans="1:28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17"/>
      <c r="L19" s="53"/>
      <c r="M19" s="43"/>
      <c r="N19" s="43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</row>
    <row r="20" spans="1:28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17"/>
      <c r="L20" s="53"/>
      <c r="M20" s="43"/>
      <c r="N20" s="43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17"/>
      <c r="L21" s="53"/>
      <c r="M21" s="43"/>
      <c r="N21" s="43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1:28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50"/>
      <c r="L22" s="53"/>
      <c r="M22" s="51"/>
      <c r="N22" s="51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5.75" customHeight="1">
      <c r="A23" s="54" t="s">
        <v>43</v>
      </c>
      <c r="B23" s="55">
        <f t="shared" ref="B23:J23" si="11">B17+B22</f>
        <v>17494715379</v>
      </c>
      <c r="C23" s="55">
        <f t="shared" si="11"/>
        <v>20195051950</v>
      </c>
      <c r="D23" s="55">
        <f t="shared" si="11"/>
        <v>37689767329</v>
      </c>
      <c r="E23" s="55">
        <f t="shared" si="11"/>
        <v>13535798122.130001</v>
      </c>
      <c r="F23" s="55">
        <f t="shared" si="11"/>
        <v>24137594271.77</v>
      </c>
      <c r="G23" s="55">
        <f t="shared" si="11"/>
        <v>37689767329</v>
      </c>
      <c r="H23" s="55">
        <f t="shared" si="11"/>
        <v>14578923734.344114</v>
      </c>
      <c r="I23" s="55">
        <f t="shared" si="11"/>
        <v>30036150137.570004</v>
      </c>
      <c r="J23" s="55">
        <f t="shared" si="11"/>
        <v>44615073871.925201</v>
      </c>
      <c r="K23" s="17"/>
      <c r="L23" s="53"/>
      <c r="M23" s="43"/>
      <c r="N23" s="43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1:28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58"/>
      <c r="M24" s="58"/>
      <c r="N24" s="58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1:28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59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59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59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59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59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59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59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59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9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59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9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9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9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9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9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9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9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9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9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9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9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9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9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59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59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59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59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59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59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59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59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59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59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59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59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59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59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59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59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59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59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59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59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59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59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59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59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59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59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59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59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59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59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59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59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59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59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59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59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59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59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59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59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59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59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59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59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59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59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59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59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59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59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59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59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59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59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59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59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59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59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59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59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59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59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59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59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59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59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59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59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59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59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59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59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59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59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59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59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59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59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59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59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59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59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59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59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59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59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59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59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59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59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59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59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59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59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59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59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59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59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59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59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59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59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59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59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59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59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59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59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59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59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59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59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59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59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59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59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59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59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59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59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59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59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59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59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59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59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59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59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59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59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59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59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59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59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59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59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59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59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59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59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59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59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59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59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59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59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59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59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59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59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59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59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59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59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59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59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59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59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59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59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59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59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59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59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59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59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59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59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59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59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59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59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59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59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59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59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59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59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59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59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59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59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59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59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59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59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59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59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59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59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59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59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59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59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59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59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59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59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59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59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59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59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59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59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59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59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59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59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59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59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59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59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59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59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59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59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59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59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59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59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59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59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59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59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59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59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59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59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59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59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59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59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59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59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59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59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59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59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59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59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59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59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59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59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59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59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59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59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59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59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59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59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59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59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59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59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59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59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59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59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59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59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59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59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59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59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59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59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59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59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59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59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59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59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59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59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59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59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59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59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59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59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59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59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59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59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59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59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59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59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59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59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59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59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59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59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59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59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59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59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59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59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59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59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59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59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59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59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59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59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59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59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59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59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59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59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59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59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59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59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59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59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59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59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59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59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59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59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59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59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59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59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59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59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59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59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59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59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59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59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59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59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59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59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59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59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59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59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59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59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59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59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59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59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59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59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59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59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59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59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59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59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59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59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59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59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59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59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59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59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59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59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59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59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59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59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59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59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59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59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59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59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59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59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59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59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59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59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59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59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59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59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59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59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59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59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59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59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59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59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59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59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59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59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59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59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59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59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59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59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59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59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59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59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59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59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59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59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59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59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59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59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59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59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59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59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59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59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59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59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59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59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59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59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59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59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59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59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59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59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59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59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59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59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59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59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59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59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59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59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59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59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59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59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59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59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59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59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59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59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59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59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59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59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59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59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59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59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59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59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59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59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59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59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59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59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59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59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59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59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59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59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59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59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59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59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59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59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59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59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59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59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59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59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59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59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59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59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59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59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59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59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59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59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59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59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59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59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59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59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59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59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59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59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59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59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59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59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59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59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59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59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59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59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59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59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59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59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59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59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59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59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59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59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59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59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59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59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59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59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59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59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59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59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59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59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59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59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59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59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59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59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59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59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59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59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59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59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59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59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59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59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59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59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59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59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59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59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59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59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59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59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59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59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59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59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59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59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59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59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59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59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59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59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59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59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59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59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59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59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59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59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59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59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59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59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59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59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59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59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59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59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59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59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59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59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59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59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59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59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59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59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59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59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59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59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59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59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59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59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59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59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59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59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59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59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59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59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59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59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59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59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59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59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59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59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59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59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59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59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59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59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59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59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59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59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59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59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59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59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59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59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59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59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59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59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59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59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59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59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59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59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59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59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59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59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59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59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59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59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59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59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59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59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59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59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59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59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59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59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59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59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59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59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59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59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59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59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59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59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59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59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59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59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59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59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59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59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59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59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59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59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59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59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59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59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59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59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59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59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59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6" priority="1">
      <formula>LEN(TRIM(L4))&gt;0</formula>
    </cfRule>
  </conditionalFormatting>
  <hyperlinks>
    <hyperlink ref="K5" r:id="rId1"/>
    <hyperlink ref="K6" r:id="rId2"/>
    <hyperlink ref="K7" r:id="rId3"/>
    <hyperlink ref="K9" r:id="rId4"/>
  </hyperlinks>
  <pageMargins left="0.511811024" right="0.511811024" top="0.78740157499999996" bottom="0.78740157499999996" header="0.31496062000000002" footer="0.3149606200000000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customWidth="1"/>
    <col min="13" max="13" width="16.75" customWidth="1"/>
    <col min="14" max="14" width="10.625" customWidth="1"/>
    <col min="15" max="28" width="8.62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1" t="s">
        <v>0</v>
      </c>
      <c r="B2" s="143" t="s">
        <v>1</v>
      </c>
      <c r="C2" s="144"/>
      <c r="D2" s="145"/>
      <c r="E2" s="143" t="s">
        <v>72</v>
      </c>
      <c r="F2" s="144"/>
      <c r="G2" s="145"/>
      <c r="H2" s="146" t="s">
        <v>73</v>
      </c>
      <c r="I2" s="144"/>
      <c r="J2" s="145"/>
      <c r="K2" s="147" t="s">
        <v>4</v>
      </c>
      <c r="L2" s="148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14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3" t="s">
        <v>9</v>
      </c>
      <c r="L4" s="42"/>
      <c r="M4" s="43"/>
      <c r="N4" s="43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</row>
    <row r="5" spans="1:28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2000000000+282312603.74+2325834136.37+8387.5+1175000000</f>
        <v>5783155127.6099997</v>
      </c>
      <c r="J5" s="19">
        <f t="shared" si="2"/>
        <v>5783155127.6099997</v>
      </c>
      <c r="K5" s="44" t="s">
        <v>74</v>
      </c>
      <c r="L5" s="42"/>
      <c r="M5" s="43"/>
      <c r="N5" s="43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ht="14.25">
      <c r="A6" s="15" t="s">
        <v>12</v>
      </c>
      <c r="B6" s="21">
        <v>2375000000</v>
      </c>
      <c r="C6" s="22">
        <v>125000000</v>
      </c>
      <c r="D6" s="22">
        <f t="shared" si="0"/>
        <v>2500000000</v>
      </c>
      <c r="E6" s="45">
        <v>702718876.22000003</v>
      </c>
      <c r="F6" s="45" t="s">
        <v>75</v>
      </c>
      <c r="G6" s="45">
        <v>2500000000</v>
      </c>
      <c r="H6" s="45">
        <f>1254272392.70351</f>
        <v>1254272392.70351</v>
      </c>
      <c r="I6" s="45" t="s">
        <v>76</v>
      </c>
      <c r="J6" s="45">
        <f>H6+1931289658.75695</f>
        <v>3185562051.4604597</v>
      </c>
      <c r="K6" s="46" t="s">
        <v>77</v>
      </c>
      <c r="L6" s="42" t="s">
        <v>78</v>
      </c>
      <c r="M6" s="43"/>
      <c r="N6" s="4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199.5">
      <c r="A7" s="20" t="s">
        <v>16</v>
      </c>
      <c r="B7" s="21">
        <v>1500000000</v>
      </c>
      <c r="C7" s="16">
        <v>0</v>
      </c>
      <c r="D7" s="17">
        <f t="shared" si="0"/>
        <v>1500000000</v>
      </c>
      <c r="E7" s="45">
        <v>526739875.00999999</v>
      </c>
      <c r="F7" s="45" t="s">
        <v>79</v>
      </c>
      <c r="G7" s="17">
        <v>1500000000</v>
      </c>
      <c r="H7" s="16">
        <v>1004088961.89</v>
      </c>
      <c r="I7" s="45" t="s">
        <v>80</v>
      </c>
      <c r="J7" s="17">
        <f>1911337230.87628</f>
        <v>1911337230.8762801</v>
      </c>
      <c r="K7" s="47" t="s">
        <v>81</v>
      </c>
      <c r="L7" s="42" t="s">
        <v>78</v>
      </c>
      <c r="M7" s="48" t="s">
        <v>55</v>
      </c>
      <c r="N7" s="43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85.5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42"/>
      <c r="M8" s="43"/>
      <c r="N8" s="43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</row>
    <row r="9" spans="1:28" ht="409.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f>(1417001073-170000000-400000000)+211773067.2+503338675.12</f>
        <v>1562112815.3200002</v>
      </c>
      <c r="J9" s="17">
        <f t="shared" si="4"/>
        <v>1695111742.3200002</v>
      </c>
      <c r="K9" s="49" t="s">
        <v>82</v>
      </c>
      <c r="L9" s="42"/>
      <c r="M9" s="43"/>
      <c r="N9" s="43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</row>
    <row r="10" spans="1:28" ht="71.25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3094685967</v>
      </c>
      <c r="J10" s="17">
        <f t="shared" si="4"/>
        <v>3094685967</v>
      </c>
      <c r="K10" s="28" t="s">
        <v>25</v>
      </c>
      <c r="L10" s="42" t="s">
        <v>83</v>
      </c>
      <c r="M10" s="43"/>
      <c r="N10" s="43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pans="1:28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4262684484.42+(4*522082373.71)</f>
        <v>6351013979.2600002</v>
      </c>
      <c r="J11" s="17">
        <f t="shared" si="4"/>
        <v>6351013979.2600002</v>
      </c>
      <c r="K11" s="28" t="s">
        <v>27</v>
      </c>
      <c r="L11" s="42" t="s">
        <v>83</v>
      </c>
      <c r="M11" s="43"/>
      <c r="N11" s="43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</row>
    <row r="12" spans="1:28" ht="71.25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4643559240.5799999</v>
      </c>
      <c r="J12" s="17">
        <f t="shared" si="4"/>
        <v>4643559240.5799999</v>
      </c>
      <c r="K12" s="28" t="s">
        <v>29</v>
      </c>
      <c r="L12" s="42" t="s">
        <v>83</v>
      </c>
      <c r="M12" s="43"/>
      <c r="N12" s="43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</row>
    <row r="13" spans="1:28" ht="42.7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172020350.77000001</v>
      </c>
      <c r="I13" s="16">
        <v>0</v>
      </c>
      <c r="J13" s="17">
        <f t="shared" si="4"/>
        <v>172020350.77000001</v>
      </c>
      <c r="K13" s="28" t="s">
        <v>31</v>
      </c>
      <c r="L13" s="42"/>
      <c r="M13" s="43"/>
      <c r="N13" s="43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</row>
    <row r="14" spans="1:28" ht="71.25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16">
        <v>461393586.06999999</v>
      </c>
      <c r="J14" s="17">
        <f t="shared" si="4"/>
        <v>461393586.06999999</v>
      </c>
      <c r="K14" s="28" t="s">
        <v>29</v>
      </c>
      <c r="L14" s="42" t="s">
        <v>83</v>
      </c>
      <c r="M14" s="43"/>
      <c r="N14" s="43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</row>
    <row r="15" spans="1:28" ht="14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28" t="s">
        <v>84</v>
      </c>
      <c r="L15" s="42"/>
      <c r="M15" s="43"/>
      <c r="N15" s="43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</row>
    <row r="16" spans="1:28" ht="42.7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90521986.3124519+123114717.852818</f>
        <v>213636704.16526991</v>
      </c>
      <c r="I16" s="16"/>
      <c r="J16" s="17">
        <f t="shared" si="4"/>
        <v>213636704.16526991</v>
      </c>
      <c r="K16" s="28" t="s">
        <v>31</v>
      </c>
      <c r="L16" s="42"/>
      <c r="M16" s="43"/>
      <c r="N16" s="43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spans="1:28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7265117812.2299995</v>
      </c>
      <c r="F17" s="31">
        <f>SUM(F4:F16)+1797281123.78+853260124.99</f>
        <v>22527542321.77</v>
      </c>
      <c r="G17" s="31">
        <f t="shared" ref="G17:H17" si="6">SUM(G4:G16)</f>
        <v>29912660134</v>
      </c>
      <c r="H17" s="31">
        <f t="shared" si="6"/>
        <v>8377017336.52878</v>
      </c>
      <c r="I17" s="31">
        <f>SUM(I4:I16)+1931289658.76+1027440268.99</f>
        <v>28413968809.459999</v>
      </c>
      <c r="J17" s="31">
        <f>SUM(J4:J16)</f>
        <v>36670794145.98201</v>
      </c>
      <c r="K17" s="50"/>
      <c r="L17" s="42"/>
      <c r="M17" s="51"/>
      <c r="N17" s="52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17"/>
      <c r="L18" s="53"/>
      <c r="M18" s="43"/>
      <c r="N18" s="43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</row>
    <row r="19" spans="1:28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17"/>
      <c r="L19" s="53"/>
      <c r="M19" s="43"/>
      <c r="N19" s="43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</row>
    <row r="20" spans="1:28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17"/>
      <c r="L20" s="53"/>
      <c r="M20" s="43"/>
      <c r="N20" s="43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17"/>
      <c r="L21" s="53"/>
      <c r="M21" s="43"/>
      <c r="N21" s="43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1:28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50"/>
      <c r="L22" s="53"/>
      <c r="M22" s="51"/>
      <c r="N22" s="51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5.75" customHeight="1">
      <c r="A23" s="54" t="s">
        <v>43</v>
      </c>
      <c r="B23" s="55">
        <f t="shared" ref="B23:J23" si="11">B17+B22</f>
        <v>17494715379</v>
      </c>
      <c r="C23" s="55">
        <f t="shared" si="11"/>
        <v>20195051950</v>
      </c>
      <c r="D23" s="55">
        <f t="shared" si="11"/>
        <v>37689767329</v>
      </c>
      <c r="E23" s="55">
        <f t="shared" si="11"/>
        <v>13432173057.23</v>
      </c>
      <c r="F23" s="55">
        <f t="shared" si="11"/>
        <v>24137594271.77</v>
      </c>
      <c r="G23" s="55">
        <f t="shared" si="11"/>
        <v>37689767329</v>
      </c>
      <c r="H23" s="55">
        <f t="shared" si="11"/>
        <v>14544072581.52878</v>
      </c>
      <c r="I23" s="55">
        <f t="shared" si="11"/>
        <v>30024020759.459999</v>
      </c>
      <c r="J23" s="55">
        <f t="shared" si="11"/>
        <v>44447901340.98201</v>
      </c>
      <c r="K23" s="17"/>
      <c r="L23" s="53"/>
      <c r="M23" s="43"/>
      <c r="N23" s="43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1:28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58"/>
      <c r="M24" s="58"/>
      <c r="N24" s="58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1:28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59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59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59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59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59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59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59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59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9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59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9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9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9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9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9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9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9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9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9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9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9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9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9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59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59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59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59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59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59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59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59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59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59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59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59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59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59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59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59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59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59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59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59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59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59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59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59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59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59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59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59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59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59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59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59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59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59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59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59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59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59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59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59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59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59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59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59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59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59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59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59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59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59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59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59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59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59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59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59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59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59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59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59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59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59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59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59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59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59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59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59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59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59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59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59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59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59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59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59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59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59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59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59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59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59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59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59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59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59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59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59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59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59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59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59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59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59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59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59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59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59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59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59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59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59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59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59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59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59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59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59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59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59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59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59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59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59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59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59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59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59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59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59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59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59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59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59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59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59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59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59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59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59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59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59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59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59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59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59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59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59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59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59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59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59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59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59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59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59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59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59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59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59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59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59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59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59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59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59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59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59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59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59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59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59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59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59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59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59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59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59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59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59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59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59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59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59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59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59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59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59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59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59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59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59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59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59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59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59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59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59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59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59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59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59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59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59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59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59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59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59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59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59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59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59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59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59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59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59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59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59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59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59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59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59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59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59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59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59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59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59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59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59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59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59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59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59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59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59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59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59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59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59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59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59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59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59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59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59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59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59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59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59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59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59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59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59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59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59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59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59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59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59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59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59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59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59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59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59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59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59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59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59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59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59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59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59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59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59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59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59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59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59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59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59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59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59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59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59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59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59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59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59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59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59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59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59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59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59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59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59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59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59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59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59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59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59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59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59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59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59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59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59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59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59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59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59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59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59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59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59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59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59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59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59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59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59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59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59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59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59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59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59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59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59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59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59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59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59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59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59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59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59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59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59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59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59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59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59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59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59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59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59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59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59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59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59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59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59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59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59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59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59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59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59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59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59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59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59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59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59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59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59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59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59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59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59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59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59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59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59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59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59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59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59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59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59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59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59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59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59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59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59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59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59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59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59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59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59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59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59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59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59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59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59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59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59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59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59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59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59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59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59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59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59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59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59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59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59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59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59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59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59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59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59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59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59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59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59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59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59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59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59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59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59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59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59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59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59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59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59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59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59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59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59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59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59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59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59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59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59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59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59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59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59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59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59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59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59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59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59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59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59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59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59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59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59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59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59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59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59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59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59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59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59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59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59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59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59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59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59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59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59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59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59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59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59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59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59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59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59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59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59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59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59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59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59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59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59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59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59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59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59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59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59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59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59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59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59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59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59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59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59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59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59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59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59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59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59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59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59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59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59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59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59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59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59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59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59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59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59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59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59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59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59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59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59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59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59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59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59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59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59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59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59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59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59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59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59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59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59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59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59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59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59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59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59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59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59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59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59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59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59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59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59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59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59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59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59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59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59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59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59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59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59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59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59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59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59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59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59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59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59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59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59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59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59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59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59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59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59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59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59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59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59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59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59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59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59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59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59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59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59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59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59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59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59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59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59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59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59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59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59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59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59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59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59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59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59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59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59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59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59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59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59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59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59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59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59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59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59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59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59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59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59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59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59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59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59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59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59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59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59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59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59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59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59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59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59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59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59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59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59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59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59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59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59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59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59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59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59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59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59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59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59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59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59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59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59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59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59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59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59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59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59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59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59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59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59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59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59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59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59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59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59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59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59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59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59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59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59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59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59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59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59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59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59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59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59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59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59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59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59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59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59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59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59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59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59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59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59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59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59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59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59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59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59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59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59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59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59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59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59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59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5" priority="1">
      <formula>LEN(TRIM(L4))&gt;0</formula>
    </cfRule>
  </conditionalFormatting>
  <hyperlinks>
    <hyperlink ref="K5" r:id="rId1"/>
    <hyperlink ref="K6" r:id="rId2"/>
    <hyperlink ref="K7" r:id="rId3"/>
    <hyperlink ref="K9" r:id="rId4"/>
  </hyperlinks>
  <pageMargins left="0.511811024" right="0.511811024" top="0.78740157499999996" bottom="0.78740157499999996" header="0.31496062000000002" footer="0.31496062000000002"/>
  <tableParts count="1"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customWidth="1"/>
    <col min="13" max="13" width="16.75" customWidth="1"/>
    <col min="14" max="14" width="10.625" customWidth="1"/>
    <col min="15" max="28" width="8.62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1" t="s">
        <v>0</v>
      </c>
      <c r="B2" s="143" t="s">
        <v>1</v>
      </c>
      <c r="C2" s="144"/>
      <c r="D2" s="145"/>
      <c r="E2" s="143" t="s">
        <v>85</v>
      </c>
      <c r="F2" s="144"/>
      <c r="G2" s="145"/>
      <c r="H2" s="146" t="s">
        <v>86</v>
      </c>
      <c r="I2" s="144"/>
      <c r="J2" s="145"/>
      <c r="K2" s="147" t="s">
        <v>4</v>
      </c>
      <c r="L2" s="148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14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3" t="s">
        <v>9</v>
      </c>
      <c r="L4" s="42"/>
      <c r="M4" s="43"/>
      <c r="N4" s="43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</row>
    <row r="5" spans="1:28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2000000000+282312603.74+2325834136.37+8387.5+1158000000</f>
        <v>5766155127.6099997</v>
      </c>
      <c r="J5" s="19">
        <f t="shared" si="2"/>
        <v>5766155127.6099997</v>
      </c>
      <c r="K5" s="60" t="s">
        <v>87</v>
      </c>
      <c r="L5" s="42"/>
      <c r="M5" s="43"/>
      <c r="N5" s="43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ht="14.25">
      <c r="A6" s="15" t="s">
        <v>12</v>
      </c>
      <c r="B6" s="21">
        <v>2375000000</v>
      </c>
      <c r="C6" s="22">
        <v>125000000</v>
      </c>
      <c r="D6" s="22">
        <f t="shared" si="0"/>
        <v>2500000000</v>
      </c>
      <c r="E6" s="45">
        <v>702718876.22000003</v>
      </c>
      <c r="F6" s="45" t="s">
        <v>88</v>
      </c>
      <c r="G6" s="45">
        <v>2500000000</v>
      </c>
      <c r="H6" s="45">
        <f>1268617539.74</f>
        <v>1268617539.74</v>
      </c>
      <c r="I6" s="45" t="s">
        <v>89</v>
      </c>
      <c r="J6" s="45">
        <f>H6+1911855754.44983</f>
        <v>3180473294.1898298</v>
      </c>
      <c r="K6" s="45" t="s">
        <v>90</v>
      </c>
      <c r="L6" s="42" t="s">
        <v>91</v>
      </c>
      <c r="M6" s="43"/>
      <c r="N6" s="4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128.25">
      <c r="A7" s="20" t="s">
        <v>16</v>
      </c>
      <c r="B7" s="21">
        <v>1500000000</v>
      </c>
      <c r="C7" s="16">
        <v>0</v>
      </c>
      <c r="D7" s="17">
        <f t="shared" si="0"/>
        <v>1500000000</v>
      </c>
      <c r="E7" s="45">
        <v>766739875.00999999</v>
      </c>
      <c r="F7" s="45" t="s">
        <v>92</v>
      </c>
      <c r="G7" s="17">
        <v>1500000000</v>
      </c>
      <c r="H7" s="16">
        <v>1002484985.90838</v>
      </c>
      <c r="I7" s="45" t="s">
        <v>93</v>
      </c>
      <c r="J7" s="17">
        <f>H7+905798990.605472</f>
        <v>1908283976.5138521</v>
      </c>
      <c r="K7" s="28" t="s">
        <v>94</v>
      </c>
      <c r="L7" s="42" t="s">
        <v>91</v>
      </c>
      <c r="M7" s="48" t="s">
        <v>55</v>
      </c>
      <c r="N7" s="43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85.5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42"/>
      <c r="M8" s="43"/>
      <c r="N8" s="43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</row>
    <row r="9" spans="1:28" ht="409.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f>(1417001073-170000000-400000000)+211773067.2+503338675.12</f>
        <v>1562112815.3200002</v>
      </c>
      <c r="J9" s="17">
        <f t="shared" si="4"/>
        <v>1695111742.3200002</v>
      </c>
      <c r="K9" s="61" t="s">
        <v>95</v>
      </c>
      <c r="L9" s="42"/>
      <c r="M9" s="43"/>
      <c r="N9" s="43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</row>
    <row r="10" spans="1:28" ht="71.25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3064300359.6799998</v>
      </c>
      <c r="J10" s="17">
        <f t="shared" si="4"/>
        <v>3064300359.6799998</v>
      </c>
      <c r="K10" s="28" t="s">
        <v>25</v>
      </c>
      <c r="L10" s="42"/>
      <c r="M10" s="43"/>
      <c r="N10" s="43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pans="1:28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4251266509.31+(4*522082373.71)</f>
        <v>6339596004.1499996</v>
      </c>
      <c r="J11" s="17">
        <f t="shared" si="4"/>
        <v>6339596004.1499996</v>
      </c>
      <c r="K11" s="28" t="s">
        <v>27</v>
      </c>
      <c r="L11" s="42"/>
      <c r="M11" s="43"/>
      <c r="N11" s="43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</row>
    <row r="12" spans="1:28" ht="71.25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4607341810.9399996</v>
      </c>
      <c r="J12" s="17">
        <f t="shared" si="4"/>
        <v>4607341810.9399996</v>
      </c>
      <c r="K12" s="28" t="s">
        <v>29</v>
      </c>
      <c r="L12" s="42"/>
      <c r="M12" s="43"/>
      <c r="N12" s="43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</row>
    <row r="13" spans="1:28" ht="42.7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171745557.88</v>
      </c>
      <c r="I13" s="16">
        <v>0</v>
      </c>
      <c r="J13" s="17">
        <f t="shared" si="4"/>
        <v>171745557.88</v>
      </c>
      <c r="K13" s="28" t="s">
        <v>96</v>
      </c>
      <c r="L13" s="42"/>
      <c r="M13" s="43"/>
      <c r="N13" s="43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</row>
    <row r="14" spans="1:28" ht="71.25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16">
        <v>457265412.24000001</v>
      </c>
      <c r="J14" s="17">
        <f t="shared" si="4"/>
        <v>457265412.24000001</v>
      </c>
      <c r="K14" s="28" t="s">
        <v>29</v>
      </c>
      <c r="L14" s="42"/>
      <c r="M14" s="43"/>
      <c r="N14" s="43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</row>
    <row r="15" spans="1:28" ht="14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28" t="s">
        <v>97</v>
      </c>
      <c r="L15" s="42"/>
      <c r="M15" s="43"/>
      <c r="N15" s="43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</row>
    <row r="16" spans="1:28" ht="42.7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90377382.5004511+122918048.974459</f>
        <v>213295431.47491011</v>
      </c>
      <c r="I16" s="16"/>
      <c r="J16" s="17">
        <f t="shared" si="4"/>
        <v>213295431.47491011</v>
      </c>
      <c r="K16" s="28" t="s">
        <v>96</v>
      </c>
      <c r="L16" s="42"/>
      <c r="M16" s="43"/>
      <c r="N16" s="43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spans="1:28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7505117812.2299995</v>
      </c>
      <c r="F17" s="31">
        <f>SUM(F4:F16)+1797281123.78+733260124.99</f>
        <v>22407542321.77</v>
      </c>
      <c r="G17" s="31">
        <f t="shared" ref="G17:H17" si="6">SUM(G4:G16)</f>
        <v>29912660134</v>
      </c>
      <c r="H17" s="31">
        <f t="shared" si="6"/>
        <v>8389142442.0032902</v>
      </c>
      <c r="I17" s="31">
        <f>SUM(I4:I16)+1911855754.44+905798990.6</f>
        <v>28173744440.849995</v>
      </c>
      <c r="J17" s="31">
        <f>SUM(J4:J16)</f>
        <v>36562886882.868584</v>
      </c>
      <c r="K17" s="50"/>
      <c r="L17" s="42"/>
      <c r="M17" s="51"/>
      <c r="N17" s="52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17"/>
      <c r="L18" s="53"/>
      <c r="M18" s="43"/>
      <c r="N18" s="43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</row>
    <row r="19" spans="1:28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17"/>
      <c r="L19" s="53"/>
      <c r="M19" s="43"/>
      <c r="N19" s="43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</row>
    <row r="20" spans="1:28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17"/>
      <c r="L20" s="53"/>
      <c r="M20" s="43"/>
      <c r="N20" s="43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17"/>
      <c r="L21" s="53"/>
      <c r="M21" s="43"/>
      <c r="N21" s="43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1:28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50"/>
      <c r="L22" s="53"/>
      <c r="M22" s="51"/>
      <c r="N22" s="51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5.75" customHeight="1">
      <c r="A23" s="54" t="s">
        <v>43</v>
      </c>
      <c r="B23" s="55">
        <f t="shared" ref="B23:J23" si="11">B17+B22</f>
        <v>17494715379</v>
      </c>
      <c r="C23" s="55">
        <f t="shared" si="11"/>
        <v>20195051950</v>
      </c>
      <c r="D23" s="55">
        <f t="shared" si="11"/>
        <v>37689767329</v>
      </c>
      <c r="E23" s="55">
        <f t="shared" si="11"/>
        <v>13672173057.23</v>
      </c>
      <c r="F23" s="55">
        <f t="shared" si="11"/>
        <v>24017594271.77</v>
      </c>
      <c r="G23" s="55">
        <f t="shared" si="11"/>
        <v>37689767329</v>
      </c>
      <c r="H23" s="55">
        <f t="shared" si="11"/>
        <v>14556197687.00329</v>
      </c>
      <c r="I23" s="55">
        <f t="shared" si="11"/>
        <v>29783796390.849995</v>
      </c>
      <c r="J23" s="55">
        <f t="shared" si="11"/>
        <v>44339994077.868584</v>
      </c>
      <c r="K23" s="17"/>
      <c r="L23" s="53"/>
      <c r="M23" s="43"/>
      <c r="N23" s="43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1:28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58"/>
      <c r="M24" s="58"/>
      <c r="N24" s="58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1:28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59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59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59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59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59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59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59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59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9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59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9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9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9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9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9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9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9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9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9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9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9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9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9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59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59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59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59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59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59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59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59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59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59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59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59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59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59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59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59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59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59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59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59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59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59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59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59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59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59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59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59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59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59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59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59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59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59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59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59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59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59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59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59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59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59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59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59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59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59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59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59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59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59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59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59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59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59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59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59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59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59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59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59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59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59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59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59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59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59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59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59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59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59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59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59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59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59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59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59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59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59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59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59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59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59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59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59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59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59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59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59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59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59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59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59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59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59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59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59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59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59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59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59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59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59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59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59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59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59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59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59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59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59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59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59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59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59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59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59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59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59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59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59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59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59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59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59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59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59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59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59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59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59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59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59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59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59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59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59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59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59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59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59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59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59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59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59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59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59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59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59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59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59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59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59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59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59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59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59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59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59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59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59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59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59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59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59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59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59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59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59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59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59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59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59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59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59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59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59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59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59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59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59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59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59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59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59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59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59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59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59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59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59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59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59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59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59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59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59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59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59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59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59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59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59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59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59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59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59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59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59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59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59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59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59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59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59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59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59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59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59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59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59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59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59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59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59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59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59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59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59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59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59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59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59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59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59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59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59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59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59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59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59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59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59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59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59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59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59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59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59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59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59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59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59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59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59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59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59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59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59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59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59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59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59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59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59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59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59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59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59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59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59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59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59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59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59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59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59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59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59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59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59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59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59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59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59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59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59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59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59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59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59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59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59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59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59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59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59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59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59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59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59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59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59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59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59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59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59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59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59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59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59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59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59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59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59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59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59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59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59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59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59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59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59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59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59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59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59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59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59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59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59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59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59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59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59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59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59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59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59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59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59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59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59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59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59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59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59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59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59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59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59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59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59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59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59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59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59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59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59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59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59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59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59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59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59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59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59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59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59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59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59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59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59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59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59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59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59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59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59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59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59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59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59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59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59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59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59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59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59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59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59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59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59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59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59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59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59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59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59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59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59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59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59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59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59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59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59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59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59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59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59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59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59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59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59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59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59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59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59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59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59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59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59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59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59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59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59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59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59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59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59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59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59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59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59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59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59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59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59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59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59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59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59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59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59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59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59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59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59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59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59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59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59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59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59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59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59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59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59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59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59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59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59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59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59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59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59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59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59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59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59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59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59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59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59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59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59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59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59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59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59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59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59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59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59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59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59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59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59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59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59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59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59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59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59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59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59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59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59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59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59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59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59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59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59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59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59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59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59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59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59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59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59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59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59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59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59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59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59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59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59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59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59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59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59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59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59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59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59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59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59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59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59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59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59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59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59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59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59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59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59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59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59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59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59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59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59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59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59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59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59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59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59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59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59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59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59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59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59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59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59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59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59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59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59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59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59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59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59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59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59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59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59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59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59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59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59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59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59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59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59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59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59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59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59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59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59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59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59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59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59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59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59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59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59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59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59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59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59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59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59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59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59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59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59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59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59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59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59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59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59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59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59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59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59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59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59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59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59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59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59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59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59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59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59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59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59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59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59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59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59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59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59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59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59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59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59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59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59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59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59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59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59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59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59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59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59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59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59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59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59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59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59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59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59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59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59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59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59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59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59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59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59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59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59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59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59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59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59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59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59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59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59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59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59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59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59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59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59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59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59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59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59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59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59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59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59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59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59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59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59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59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59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59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59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59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59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59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59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59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59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59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59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59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59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59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59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59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59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59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59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59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4" priority="1">
      <formula>LEN(TRIM(L4))&gt;0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customWidth="1"/>
    <col min="13" max="13" width="16.75" customWidth="1"/>
    <col min="14" max="14" width="10.625" customWidth="1"/>
    <col min="15" max="28" width="8.62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1" t="s">
        <v>0</v>
      </c>
      <c r="B2" s="143" t="s">
        <v>1</v>
      </c>
      <c r="C2" s="144"/>
      <c r="D2" s="145"/>
      <c r="E2" s="143" t="s">
        <v>98</v>
      </c>
      <c r="F2" s="144"/>
      <c r="G2" s="145"/>
      <c r="H2" s="146" t="s">
        <v>99</v>
      </c>
      <c r="I2" s="144"/>
      <c r="J2" s="145"/>
      <c r="K2" s="147" t="s">
        <v>4</v>
      </c>
      <c r="L2" s="148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14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3" t="s">
        <v>9</v>
      </c>
      <c r="L4" s="42" t="s">
        <v>100</v>
      </c>
      <c r="M4" s="43"/>
      <c r="N4" s="43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</row>
    <row r="5" spans="1:28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2000000000+282312603.74+2325834136.37+8387.5+1141000000</f>
        <v>5749155127.6099997</v>
      </c>
      <c r="J5" s="19">
        <f t="shared" si="2"/>
        <v>5749155127.6099997</v>
      </c>
      <c r="K5" s="60" t="s">
        <v>101</v>
      </c>
      <c r="L5" s="42" t="s">
        <v>100</v>
      </c>
      <c r="M5" s="43"/>
      <c r="N5" s="43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ht="14.25">
      <c r="A6" s="15" t="s">
        <v>12</v>
      </c>
      <c r="B6" s="21">
        <v>2375000000</v>
      </c>
      <c r="C6" s="22">
        <v>125000000</v>
      </c>
      <c r="D6" s="22">
        <f t="shared" si="0"/>
        <v>2500000000</v>
      </c>
      <c r="E6" s="45">
        <v>702718876.22000003</v>
      </c>
      <c r="F6" s="45" t="s">
        <v>88</v>
      </c>
      <c r="G6" s="45">
        <v>2500000000</v>
      </c>
      <c r="H6" s="45">
        <f>1262054854.49654</f>
        <v>1262054854.4965401</v>
      </c>
      <c r="I6" s="45" t="s">
        <v>102</v>
      </c>
      <c r="J6" s="45">
        <f>H6+1901965533.67472</f>
        <v>3164020388.1712599</v>
      </c>
      <c r="K6" s="45" t="s">
        <v>90</v>
      </c>
      <c r="L6" s="42" t="s">
        <v>103</v>
      </c>
      <c r="M6" s="43"/>
      <c r="N6" s="4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128.25">
      <c r="A7" s="20" t="s">
        <v>16</v>
      </c>
      <c r="B7" s="21">
        <v>1500000000</v>
      </c>
      <c r="C7" s="16">
        <v>0</v>
      </c>
      <c r="D7" s="17">
        <f t="shared" si="0"/>
        <v>1500000000</v>
      </c>
      <c r="E7" s="45">
        <v>766739875.00999999</v>
      </c>
      <c r="F7" s="45" t="s">
        <v>92</v>
      </c>
      <c r="G7" s="17">
        <v>1500000000</v>
      </c>
      <c r="H7" s="16">
        <v>1116678258.9617801</v>
      </c>
      <c r="I7" s="45" t="s">
        <v>104</v>
      </c>
      <c r="J7" s="17">
        <f>H7+781733973.940979</f>
        <v>1898412232.9027591</v>
      </c>
      <c r="K7" s="28" t="s">
        <v>94</v>
      </c>
      <c r="L7" s="42" t="s">
        <v>103</v>
      </c>
      <c r="M7" s="48" t="s">
        <v>55</v>
      </c>
      <c r="N7" s="43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85.5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42" t="s">
        <v>100</v>
      </c>
      <c r="M8" s="43"/>
      <c r="N8" s="43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</row>
    <row r="9" spans="1:28" ht="409.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f>(1417001073-170000000-400000000)+211773067.2+503338675.12</f>
        <v>1562112815.3200002</v>
      </c>
      <c r="J9" s="17">
        <f t="shared" si="4"/>
        <v>1695111742.3200002</v>
      </c>
      <c r="K9" s="61" t="s">
        <v>95</v>
      </c>
      <c r="L9" s="42" t="s">
        <v>100</v>
      </c>
      <c r="M9" s="43"/>
      <c r="N9" s="43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</row>
    <row r="10" spans="1:28" ht="71.25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3036648255.4299998</v>
      </c>
      <c r="J10" s="17">
        <f t="shared" si="4"/>
        <v>3036648255.4299998</v>
      </c>
      <c r="K10" s="28" t="s">
        <v>25</v>
      </c>
      <c r="L10" s="42" t="s">
        <v>100</v>
      </c>
      <c r="M10" s="43"/>
      <c r="N10" s="43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pans="1:28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4227017476.53+(4*522082373.71)</f>
        <v>6315346971.3699999</v>
      </c>
      <c r="J11" s="17">
        <f t="shared" si="4"/>
        <v>6315346971.3699999</v>
      </c>
      <c r="K11" s="28" t="s">
        <v>27</v>
      </c>
      <c r="L11" s="42" t="s">
        <v>100</v>
      </c>
      <c r="M11" s="43"/>
      <c r="N11" s="43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</row>
    <row r="12" spans="1:28" ht="71.25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4588505606.54</v>
      </c>
      <c r="J12" s="17">
        <f t="shared" si="4"/>
        <v>4588505606.54</v>
      </c>
      <c r="K12" s="28" t="s">
        <v>29</v>
      </c>
      <c r="L12" s="42" t="s">
        <v>100</v>
      </c>
      <c r="M12" s="43"/>
      <c r="N12" s="43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</row>
    <row r="13" spans="1:28" ht="42.7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170857100.96000001</v>
      </c>
      <c r="I13" s="16">
        <v>0</v>
      </c>
      <c r="J13" s="17">
        <f t="shared" si="4"/>
        <v>170857100.96000001</v>
      </c>
      <c r="K13" s="28" t="s">
        <v>96</v>
      </c>
      <c r="L13" s="42" t="s">
        <v>100</v>
      </c>
      <c r="M13" s="43"/>
      <c r="N13" s="43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</row>
    <row r="14" spans="1:28" ht="71.25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16">
        <v>453499360.32999998</v>
      </c>
      <c r="J14" s="17">
        <f t="shared" si="4"/>
        <v>453499360.32999998</v>
      </c>
      <c r="K14" s="28" t="s">
        <v>29</v>
      </c>
      <c r="L14" s="42" t="s">
        <v>100</v>
      </c>
      <c r="M14" s="43"/>
      <c r="N14" s="43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</row>
    <row r="15" spans="1:28" ht="14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28" t="s">
        <v>105</v>
      </c>
      <c r="L15" s="42" t="s">
        <v>100</v>
      </c>
      <c r="M15" s="43"/>
      <c r="N15" s="43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</row>
    <row r="16" spans="1:28" ht="42.7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89909851.2738272+122282181.629983</f>
        <v>212192032.9038102</v>
      </c>
      <c r="I16" s="16"/>
      <c r="J16" s="17">
        <f t="shared" si="4"/>
        <v>212192032.9038102</v>
      </c>
      <c r="K16" s="28" t="s">
        <v>96</v>
      </c>
      <c r="L16" s="42" t="s">
        <v>100</v>
      </c>
      <c r="M16" s="43"/>
      <c r="N16" s="43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spans="1:28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7505117812.2299995</v>
      </c>
      <c r="F17" s="31">
        <f>SUM(F4:F16)+1797281123.78+733260124.99</f>
        <v>22407542321.77</v>
      </c>
      <c r="G17" s="31">
        <f t="shared" ref="G17:H17" si="6">SUM(G4:G16)</f>
        <v>29912660134</v>
      </c>
      <c r="H17" s="31">
        <f t="shared" si="6"/>
        <v>8494781174.3221312</v>
      </c>
      <c r="I17" s="31">
        <f>SUM(I4:I16)+1901965533.67+781733973.94</f>
        <v>27948285810.079998</v>
      </c>
      <c r="J17" s="31">
        <f>SUM(J4:J16)</f>
        <v>36443066984.407829</v>
      </c>
      <c r="K17" s="50"/>
      <c r="L17" s="42" t="s">
        <v>100</v>
      </c>
      <c r="M17" s="51"/>
      <c r="N17" s="52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17"/>
      <c r="L18" s="53"/>
      <c r="M18" s="43"/>
      <c r="N18" s="43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</row>
    <row r="19" spans="1:28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17"/>
      <c r="L19" s="53"/>
      <c r="M19" s="43"/>
      <c r="N19" s="43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</row>
    <row r="20" spans="1:28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17"/>
      <c r="L20" s="53"/>
      <c r="M20" s="43"/>
      <c r="N20" s="43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17"/>
      <c r="L21" s="53"/>
      <c r="M21" s="43"/>
      <c r="N21" s="43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1:28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50"/>
      <c r="L22" s="53"/>
      <c r="M22" s="51"/>
      <c r="N22" s="51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5.75" customHeight="1">
      <c r="A23" s="54" t="s">
        <v>43</v>
      </c>
      <c r="B23" s="55">
        <f t="shared" ref="B23:J23" si="11">B17+B22</f>
        <v>17494715379</v>
      </c>
      <c r="C23" s="55">
        <f t="shared" si="11"/>
        <v>20195051950</v>
      </c>
      <c r="D23" s="55">
        <f t="shared" si="11"/>
        <v>37689767329</v>
      </c>
      <c r="E23" s="55">
        <f t="shared" si="11"/>
        <v>13672173057.23</v>
      </c>
      <c r="F23" s="55">
        <f t="shared" si="11"/>
        <v>24017594271.77</v>
      </c>
      <c r="G23" s="55">
        <f t="shared" si="11"/>
        <v>37689767329</v>
      </c>
      <c r="H23" s="55">
        <f t="shared" si="11"/>
        <v>14661836419.322132</v>
      </c>
      <c r="I23" s="55">
        <f t="shared" si="11"/>
        <v>29558337760.079998</v>
      </c>
      <c r="J23" s="55">
        <f t="shared" si="11"/>
        <v>44220174179.407829</v>
      </c>
      <c r="K23" s="17"/>
      <c r="L23" s="53"/>
      <c r="M23" s="43"/>
      <c r="N23" s="43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1:28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58"/>
      <c r="M24" s="58"/>
      <c r="N24" s="58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1:28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59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59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59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59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59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59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59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59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9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59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9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9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9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9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9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9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9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9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9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9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9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9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9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59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59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59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59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59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59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59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59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59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59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59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59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59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59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59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59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59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59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59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59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59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59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59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59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59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59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59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59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59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59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59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59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59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59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59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59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59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59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59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59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59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59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59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59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59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59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59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59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59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59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59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59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59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59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59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59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59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59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59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59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59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59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59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59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59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59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59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59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59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59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59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59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59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59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59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59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59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59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59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59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59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59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59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59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59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59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59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59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59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59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59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59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59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59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59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59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59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59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59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59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59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59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59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59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59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59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59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59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59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59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59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59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59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59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59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59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59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59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59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59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59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59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59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59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59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59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59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59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59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59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59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59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59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59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59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59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59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59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59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59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59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59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59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59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59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59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59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59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59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59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59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59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59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59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59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59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59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59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59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59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59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59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59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59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59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59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59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59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59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59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59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59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59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59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59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59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59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59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59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59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59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59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59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59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59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59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59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59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59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59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59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59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59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59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59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59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59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59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59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59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59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59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59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59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59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59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59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59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59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59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59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59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59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59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59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59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59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59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59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59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59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59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59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59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59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59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59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59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59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59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59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59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59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59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59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59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59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59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59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59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59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59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59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59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59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59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59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59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59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59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59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59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59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59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59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59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59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59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59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59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59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59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59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59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59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59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59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59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59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59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59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59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59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59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59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59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59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59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59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59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59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59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59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59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59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59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59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59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59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59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59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59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59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59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59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59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59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59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59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59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59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59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59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59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59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59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59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59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59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59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59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59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59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59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59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59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59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59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59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59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59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59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59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59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59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59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59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59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59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59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59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59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59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59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59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59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59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59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59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59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59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59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59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59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59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59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59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59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59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59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59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59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59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59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59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59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59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59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59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59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59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59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59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59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59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59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59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59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59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59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59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59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59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59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59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59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59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59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59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59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59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59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59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59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59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59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59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59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59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59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59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59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59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59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59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59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59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59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59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59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59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59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59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59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59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59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59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59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59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59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59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59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59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59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59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59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59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59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59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59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59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59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59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59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59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59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59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59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59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59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59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59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59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59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59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59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59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59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59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59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59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59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59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59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59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59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59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59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59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59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59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59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59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59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59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59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59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59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59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59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59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59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59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59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59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59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59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59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59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59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59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59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59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59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59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59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59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59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59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59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59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59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59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59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59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59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59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59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59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59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59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59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59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59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59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59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59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59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59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59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59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59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59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59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59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59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59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59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59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59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59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59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59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59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59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59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59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59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59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59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59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59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59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59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59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59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59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59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59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59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59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59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59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59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59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59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59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59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59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59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59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59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59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59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59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59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59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59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59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59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59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59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59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59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59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59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59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59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59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59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59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59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59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59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59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59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59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59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59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59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59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59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59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59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59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59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59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59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59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59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59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59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59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59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59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59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59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59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59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59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59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59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59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59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59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59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59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59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59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59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59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59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59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59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59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59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59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59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59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59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59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59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59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59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59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59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59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59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59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59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59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59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59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59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59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59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59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59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59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59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59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59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59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59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59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59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59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59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59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59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59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59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59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59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59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59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59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59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59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59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59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59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59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59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59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59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59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59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59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59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59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59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59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59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59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59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59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59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59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59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59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59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59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59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59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59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59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59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59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59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59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59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59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59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59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59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59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59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59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59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59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59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59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59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59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59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59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59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59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59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59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59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59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59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59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59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59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59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59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59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59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3" priority="1">
      <formula>LEN(TRIM(L4))&gt;0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customWidth="1"/>
    <col min="13" max="13" width="16.75" customWidth="1"/>
    <col min="14" max="14" width="10.625" customWidth="1"/>
    <col min="15" max="28" width="8.62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62"/>
      <c r="N1" s="6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1" t="s">
        <v>0</v>
      </c>
      <c r="B2" s="143" t="s">
        <v>1</v>
      </c>
      <c r="C2" s="144"/>
      <c r="D2" s="145"/>
      <c r="E2" s="143" t="s">
        <v>106</v>
      </c>
      <c r="F2" s="144"/>
      <c r="G2" s="145"/>
      <c r="H2" s="146" t="s">
        <v>107</v>
      </c>
      <c r="I2" s="144"/>
      <c r="J2" s="145"/>
      <c r="K2" s="147" t="s">
        <v>4</v>
      </c>
      <c r="L2" s="148" t="s">
        <v>46</v>
      </c>
      <c r="M2" s="62"/>
      <c r="N2" s="6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149"/>
      <c r="M3" s="62"/>
      <c r="N3" s="6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3" t="s">
        <v>9</v>
      </c>
      <c r="L4" s="42"/>
      <c r="M4" s="63"/>
      <c r="N4" s="63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</row>
    <row r="5" spans="1:28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2000000000+282312603.74+2325834136.37+8387.5+1125000000</f>
        <v>5733155127.6099997</v>
      </c>
      <c r="J5" s="19">
        <f t="shared" si="2"/>
        <v>5733155127.6099997</v>
      </c>
      <c r="K5" s="60" t="s">
        <v>108</v>
      </c>
      <c r="L5" s="42"/>
      <c r="M5" s="63"/>
      <c r="N5" s="63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ht="14.25">
      <c r="A6" s="15" t="s">
        <v>12</v>
      </c>
      <c r="B6" s="21">
        <v>2375000000</v>
      </c>
      <c r="C6" s="22">
        <v>125000000</v>
      </c>
      <c r="D6" s="22">
        <f t="shared" si="0"/>
        <v>2500000000</v>
      </c>
      <c r="E6" s="45">
        <v>702718876.22000003</v>
      </c>
      <c r="F6" s="45" t="s">
        <v>88</v>
      </c>
      <c r="G6" s="45">
        <v>2500000000</v>
      </c>
      <c r="H6" s="45">
        <f>1257151961.85</f>
        <v>1257151961.8499999</v>
      </c>
      <c r="I6" s="45" t="s">
        <v>109</v>
      </c>
      <c r="J6" s="45">
        <f>H6+1894576684.61</f>
        <v>3151728646.46</v>
      </c>
      <c r="K6" s="45" t="s">
        <v>90</v>
      </c>
      <c r="L6" s="42" t="s">
        <v>103</v>
      </c>
      <c r="M6" s="63"/>
      <c r="N6" s="6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128.25">
      <c r="A7" s="20" t="s">
        <v>16</v>
      </c>
      <c r="B7" s="21">
        <v>1500000000</v>
      </c>
      <c r="C7" s="16">
        <v>0</v>
      </c>
      <c r="D7" s="17">
        <f t="shared" si="0"/>
        <v>1500000000</v>
      </c>
      <c r="E7" s="45">
        <v>766739875.00999999</v>
      </c>
      <c r="F7" s="45" t="s">
        <v>92</v>
      </c>
      <c r="G7" s="17">
        <v>1500000000</v>
      </c>
      <c r="H7" s="16">
        <v>1112340132.45</v>
      </c>
      <c r="I7" s="45" t="s">
        <v>110</v>
      </c>
      <c r="J7" s="17">
        <f>H7+778697055.42</f>
        <v>1891037187.8699999</v>
      </c>
      <c r="K7" s="28" t="s">
        <v>94</v>
      </c>
      <c r="L7" s="42" t="s">
        <v>103</v>
      </c>
      <c r="M7" s="64" t="s">
        <v>55</v>
      </c>
      <c r="N7" s="63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85.5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42"/>
      <c r="M8" s="63"/>
      <c r="N8" s="63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</row>
    <row r="9" spans="1:28" ht="409.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f>(1417001073-170000000-400000000)+211773067.2+503338675.12</f>
        <v>1562112815.3200002</v>
      </c>
      <c r="J9" s="17">
        <f t="shared" si="4"/>
        <v>1695111742.3200002</v>
      </c>
      <c r="K9" s="61" t="s">
        <v>111</v>
      </c>
      <c r="L9" s="42"/>
      <c r="M9" s="63"/>
      <c r="N9" s="63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</row>
    <row r="10" spans="1:28" ht="71.25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3013274223.4899998</v>
      </c>
      <c r="J10" s="17">
        <f t="shared" si="4"/>
        <v>3013274223.4899998</v>
      </c>
      <c r="K10" s="28" t="s">
        <v>25</v>
      </c>
      <c r="L10" s="42"/>
      <c r="M10" s="63"/>
      <c r="N10" s="63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pans="1:28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3686399101.15+(5*518269874.82)</f>
        <v>6277748475.25</v>
      </c>
      <c r="J11" s="17">
        <f t="shared" si="4"/>
        <v>6277748475.25</v>
      </c>
      <c r="K11" s="28" t="s">
        <v>27</v>
      </c>
      <c r="L11" s="42"/>
      <c r="M11" s="63"/>
      <c r="N11" s="63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</row>
    <row r="12" spans="1:28" ht="71.25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4572399121</v>
      </c>
      <c r="J12" s="17">
        <f t="shared" si="4"/>
        <v>4572399121</v>
      </c>
      <c r="K12" s="28" t="s">
        <v>29</v>
      </c>
      <c r="L12" s="42"/>
      <c r="M12" s="63"/>
      <c r="N12" s="63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</row>
    <row r="13" spans="1:28" ht="42.7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170193346.908306</v>
      </c>
      <c r="I13" s="16">
        <v>0</v>
      </c>
      <c r="J13" s="17">
        <f t="shared" si="4"/>
        <v>170193346.908306</v>
      </c>
      <c r="K13" s="28" t="s">
        <v>112</v>
      </c>
      <c r="L13" s="42"/>
      <c r="M13" s="63"/>
      <c r="N13" s="63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</row>
    <row r="14" spans="1:28" ht="71.25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16">
        <v>450307215.81999999</v>
      </c>
      <c r="J14" s="17">
        <f t="shared" si="4"/>
        <v>450307215.81999999</v>
      </c>
      <c r="K14" s="28" t="s">
        <v>29</v>
      </c>
      <c r="L14" s="42"/>
      <c r="M14" s="63"/>
      <c r="N14" s="63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</row>
    <row r="15" spans="1:28" ht="14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28" t="s">
        <v>113</v>
      </c>
      <c r="L15" s="42"/>
      <c r="M15" s="63"/>
      <c r="N15" s="63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</row>
    <row r="16" spans="1:28" ht="42.7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89560565.070054+121807133.808132</f>
        <v>211367698.87818599</v>
      </c>
      <c r="I16" s="16"/>
      <c r="J16" s="17">
        <f t="shared" si="4"/>
        <v>211367698.87818599</v>
      </c>
      <c r="K16" s="28" t="s">
        <v>112</v>
      </c>
      <c r="L16" s="42"/>
      <c r="M16" s="63"/>
      <c r="N16" s="63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spans="1:28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7505117812.2299995</v>
      </c>
      <c r="F17" s="31">
        <f>SUM(F4:F16)+1797281123.78+733260124.99</f>
        <v>22407542321.77</v>
      </c>
      <c r="G17" s="31">
        <f t="shared" ref="G17:H17" si="6">SUM(G4:G16)</f>
        <v>29912660134</v>
      </c>
      <c r="H17" s="31">
        <f t="shared" si="6"/>
        <v>8484052067.0864925</v>
      </c>
      <c r="I17" s="31">
        <f>SUM(I4:I16)+1894576684.61+778697055.42</f>
        <v>27841588884.389999</v>
      </c>
      <c r="J17" s="31">
        <f>SUM(J4:J16)</f>
        <v>36325640951.476486</v>
      </c>
      <c r="K17" s="50"/>
      <c r="L17" s="42"/>
      <c r="M17" s="65"/>
      <c r="N17" s="66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17"/>
      <c r="L18" s="53"/>
      <c r="M18" s="63"/>
      <c r="N18" s="63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</row>
    <row r="19" spans="1:28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17"/>
      <c r="L19" s="53"/>
      <c r="M19" s="63"/>
      <c r="N19" s="63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</row>
    <row r="20" spans="1:28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17"/>
      <c r="L20" s="53"/>
      <c r="M20" s="63"/>
      <c r="N20" s="63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17"/>
      <c r="L21" s="53"/>
      <c r="M21" s="63"/>
      <c r="N21" s="63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1:28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50"/>
      <c r="L22" s="53"/>
      <c r="M22" s="65"/>
      <c r="N22" s="65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5.75" customHeight="1">
      <c r="A23" s="54" t="s">
        <v>43</v>
      </c>
      <c r="B23" s="55">
        <f t="shared" ref="B23:J23" si="11">B17+B22</f>
        <v>17494715379</v>
      </c>
      <c r="C23" s="55">
        <f t="shared" si="11"/>
        <v>20195051950</v>
      </c>
      <c r="D23" s="55">
        <f t="shared" si="11"/>
        <v>37689767329</v>
      </c>
      <c r="E23" s="55">
        <f t="shared" si="11"/>
        <v>13672173057.23</v>
      </c>
      <c r="F23" s="55">
        <f t="shared" si="11"/>
        <v>24017594271.77</v>
      </c>
      <c r="G23" s="55">
        <f t="shared" si="11"/>
        <v>37689767329</v>
      </c>
      <c r="H23" s="55">
        <f t="shared" si="11"/>
        <v>14651107312.086493</v>
      </c>
      <c r="I23" s="55">
        <f t="shared" si="11"/>
        <v>29451640834.389999</v>
      </c>
      <c r="J23" s="55">
        <f t="shared" si="11"/>
        <v>44102748146.476486</v>
      </c>
      <c r="K23" s="17"/>
      <c r="L23" s="53"/>
      <c r="M23" s="63"/>
      <c r="N23" s="63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1:28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58"/>
      <c r="M24" s="67"/>
      <c r="N24" s="67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1:28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59"/>
      <c r="M25" s="62"/>
      <c r="N25" s="62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59"/>
      <c r="M26" s="62"/>
      <c r="N26" s="62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59"/>
      <c r="M27" s="62"/>
      <c r="N27" s="62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59"/>
      <c r="M28" s="62"/>
      <c r="N28" s="62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59"/>
      <c r="M29" s="62"/>
      <c r="N29" s="62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59"/>
      <c r="M30" s="62"/>
      <c r="N30" s="62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59"/>
      <c r="M31" s="62"/>
      <c r="N31" s="62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59"/>
      <c r="M32" s="62"/>
      <c r="N32" s="62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9"/>
      <c r="M33" s="62"/>
      <c r="N33" s="62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59"/>
      <c r="M34" s="62"/>
      <c r="N34" s="62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9"/>
      <c r="M35" s="62"/>
      <c r="N35" s="62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9"/>
      <c r="M36" s="62"/>
      <c r="N36" s="62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9"/>
      <c r="M37" s="62"/>
      <c r="N37" s="62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9"/>
      <c r="M38" s="62"/>
      <c r="N38" s="62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9"/>
      <c r="M39" s="62"/>
      <c r="N39" s="62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9"/>
      <c r="M40" s="62"/>
      <c r="N40" s="62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9"/>
      <c r="M41" s="62"/>
      <c r="N41" s="62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9"/>
      <c r="M42" s="62"/>
      <c r="N42" s="62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9"/>
      <c r="M43" s="62"/>
      <c r="N43" s="62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9"/>
      <c r="M44" s="62"/>
      <c r="N44" s="62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9"/>
      <c r="M45" s="62"/>
      <c r="N45" s="62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9"/>
      <c r="M46" s="62"/>
      <c r="N46" s="62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9"/>
      <c r="M47" s="62"/>
      <c r="N47" s="62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59"/>
      <c r="M48" s="62"/>
      <c r="N48" s="62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59"/>
      <c r="M49" s="62"/>
      <c r="N49" s="62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59"/>
      <c r="M50" s="62"/>
      <c r="N50" s="62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59"/>
      <c r="M51" s="62"/>
      <c r="N51" s="62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59"/>
      <c r="M52" s="62"/>
      <c r="N52" s="62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59"/>
      <c r="M53" s="62"/>
      <c r="N53" s="62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59"/>
      <c r="M54" s="62"/>
      <c r="N54" s="62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59"/>
      <c r="M55" s="62"/>
      <c r="N55" s="62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59"/>
      <c r="M56" s="62"/>
      <c r="N56" s="62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59"/>
      <c r="M57" s="62"/>
      <c r="N57" s="62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59"/>
      <c r="M58" s="62"/>
      <c r="N58" s="62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59"/>
      <c r="M59" s="62"/>
      <c r="N59" s="62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59"/>
      <c r="M60" s="62"/>
      <c r="N60" s="62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59"/>
      <c r="M61" s="62"/>
      <c r="N61" s="62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59"/>
      <c r="M62" s="62"/>
      <c r="N62" s="62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59"/>
      <c r="M63" s="62"/>
      <c r="N63" s="62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59"/>
      <c r="M64" s="62"/>
      <c r="N64" s="62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59"/>
      <c r="M65" s="62"/>
      <c r="N65" s="62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59"/>
      <c r="M66" s="62"/>
      <c r="N66" s="62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59"/>
      <c r="M67" s="62"/>
      <c r="N67" s="62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59"/>
      <c r="M68" s="62"/>
      <c r="N68" s="62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59"/>
      <c r="M69" s="62"/>
      <c r="N69" s="62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59"/>
      <c r="M70" s="62"/>
      <c r="N70" s="62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59"/>
      <c r="M71" s="62"/>
      <c r="N71" s="62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59"/>
      <c r="M72" s="62"/>
      <c r="N72" s="62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59"/>
      <c r="M73" s="62"/>
      <c r="N73" s="62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59"/>
      <c r="M74" s="62"/>
      <c r="N74" s="62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59"/>
      <c r="M75" s="62"/>
      <c r="N75" s="62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59"/>
      <c r="M76" s="62"/>
      <c r="N76" s="62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59"/>
      <c r="M77" s="62"/>
      <c r="N77" s="62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59"/>
      <c r="M78" s="62"/>
      <c r="N78" s="62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59"/>
      <c r="M79" s="62"/>
      <c r="N79" s="62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59"/>
      <c r="M80" s="62"/>
      <c r="N80" s="62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59"/>
      <c r="M81" s="62"/>
      <c r="N81" s="62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59"/>
      <c r="M82" s="62"/>
      <c r="N82" s="62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59"/>
      <c r="M83" s="62"/>
      <c r="N83" s="62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59"/>
      <c r="M84" s="62"/>
      <c r="N84" s="62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59"/>
      <c r="M85" s="62"/>
      <c r="N85" s="62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59"/>
      <c r="M86" s="62"/>
      <c r="N86" s="62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59"/>
      <c r="M87" s="62"/>
      <c r="N87" s="62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59"/>
      <c r="M88" s="62"/>
      <c r="N88" s="62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59"/>
      <c r="M89" s="62"/>
      <c r="N89" s="62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59"/>
      <c r="M90" s="62"/>
      <c r="N90" s="62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59"/>
      <c r="M91" s="62"/>
      <c r="N91" s="62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59"/>
      <c r="M92" s="62"/>
      <c r="N92" s="62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59"/>
      <c r="M93" s="62"/>
      <c r="N93" s="62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59"/>
      <c r="M94" s="62"/>
      <c r="N94" s="62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59"/>
      <c r="M95" s="62"/>
      <c r="N95" s="62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59"/>
      <c r="M96" s="62"/>
      <c r="N96" s="62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59"/>
      <c r="M97" s="62"/>
      <c r="N97" s="62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59"/>
      <c r="M98" s="62"/>
      <c r="N98" s="62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59"/>
      <c r="M99" s="62"/>
      <c r="N99" s="62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59"/>
      <c r="M100" s="62"/>
      <c r="N100" s="62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59"/>
      <c r="M101" s="62"/>
      <c r="N101" s="62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59"/>
      <c r="M102" s="62"/>
      <c r="N102" s="62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59"/>
      <c r="M103" s="62"/>
      <c r="N103" s="62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59"/>
      <c r="M104" s="62"/>
      <c r="N104" s="62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59"/>
      <c r="M105" s="62"/>
      <c r="N105" s="62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59"/>
      <c r="M106" s="62"/>
      <c r="N106" s="62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59"/>
      <c r="M107" s="62"/>
      <c r="N107" s="62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59"/>
      <c r="M108" s="62"/>
      <c r="N108" s="62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59"/>
      <c r="M109" s="62"/>
      <c r="N109" s="62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59"/>
      <c r="M110" s="62"/>
      <c r="N110" s="62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59"/>
      <c r="M111" s="62"/>
      <c r="N111" s="62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59"/>
      <c r="M112" s="62"/>
      <c r="N112" s="62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59"/>
      <c r="M113" s="62"/>
      <c r="N113" s="62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59"/>
      <c r="M114" s="62"/>
      <c r="N114" s="62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59"/>
      <c r="M115" s="62"/>
      <c r="N115" s="62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59"/>
      <c r="M116" s="62"/>
      <c r="N116" s="62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59"/>
      <c r="M117" s="62"/>
      <c r="N117" s="62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59"/>
      <c r="M118" s="62"/>
      <c r="N118" s="62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59"/>
      <c r="M119" s="62"/>
      <c r="N119" s="62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59"/>
      <c r="M120" s="62"/>
      <c r="N120" s="62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59"/>
      <c r="M121" s="62"/>
      <c r="N121" s="62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59"/>
      <c r="M122" s="62"/>
      <c r="N122" s="62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59"/>
      <c r="M123" s="62"/>
      <c r="N123" s="62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59"/>
      <c r="M124" s="62"/>
      <c r="N124" s="62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59"/>
      <c r="M125" s="62"/>
      <c r="N125" s="62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59"/>
      <c r="M126" s="62"/>
      <c r="N126" s="62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59"/>
      <c r="M127" s="62"/>
      <c r="N127" s="62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59"/>
      <c r="M128" s="62"/>
      <c r="N128" s="62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59"/>
      <c r="M129" s="62"/>
      <c r="N129" s="62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59"/>
      <c r="M130" s="62"/>
      <c r="N130" s="62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59"/>
      <c r="M131" s="62"/>
      <c r="N131" s="62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59"/>
      <c r="M132" s="62"/>
      <c r="N132" s="62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59"/>
      <c r="M133" s="62"/>
      <c r="N133" s="62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59"/>
      <c r="M134" s="62"/>
      <c r="N134" s="62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59"/>
      <c r="M135" s="62"/>
      <c r="N135" s="62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59"/>
      <c r="M136" s="62"/>
      <c r="N136" s="62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59"/>
      <c r="M137" s="62"/>
      <c r="N137" s="62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59"/>
      <c r="M138" s="62"/>
      <c r="N138" s="62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59"/>
      <c r="M139" s="62"/>
      <c r="N139" s="62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59"/>
      <c r="M140" s="62"/>
      <c r="N140" s="62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59"/>
      <c r="M141" s="62"/>
      <c r="N141" s="62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59"/>
      <c r="M142" s="62"/>
      <c r="N142" s="62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59"/>
      <c r="M143" s="62"/>
      <c r="N143" s="62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59"/>
      <c r="M144" s="62"/>
      <c r="N144" s="62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59"/>
      <c r="M145" s="62"/>
      <c r="N145" s="62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59"/>
      <c r="M146" s="62"/>
      <c r="N146" s="62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59"/>
      <c r="M147" s="62"/>
      <c r="N147" s="62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59"/>
      <c r="M148" s="62"/>
      <c r="N148" s="62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59"/>
      <c r="M149" s="62"/>
      <c r="N149" s="62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59"/>
      <c r="M150" s="62"/>
      <c r="N150" s="62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59"/>
      <c r="M151" s="62"/>
      <c r="N151" s="62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59"/>
      <c r="M152" s="62"/>
      <c r="N152" s="62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59"/>
      <c r="M153" s="62"/>
      <c r="N153" s="62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59"/>
      <c r="M154" s="62"/>
      <c r="N154" s="62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59"/>
      <c r="M155" s="62"/>
      <c r="N155" s="62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59"/>
      <c r="M156" s="62"/>
      <c r="N156" s="62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59"/>
      <c r="M157" s="62"/>
      <c r="N157" s="62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59"/>
      <c r="M158" s="62"/>
      <c r="N158" s="62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59"/>
      <c r="M159" s="62"/>
      <c r="N159" s="62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59"/>
      <c r="M160" s="62"/>
      <c r="N160" s="62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59"/>
      <c r="M161" s="62"/>
      <c r="N161" s="62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59"/>
      <c r="M162" s="62"/>
      <c r="N162" s="62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59"/>
      <c r="M163" s="62"/>
      <c r="N163" s="62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59"/>
      <c r="M164" s="62"/>
      <c r="N164" s="62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59"/>
      <c r="M165" s="62"/>
      <c r="N165" s="62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59"/>
      <c r="M166" s="62"/>
      <c r="N166" s="62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59"/>
      <c r="M167" s="62"/>
      <c r="N167" s="62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59"/>
      <c r="M168" s="62"/>
      <c r="N168" s="62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59"/>
      <c r="M169" s="62"/>
      <c r="N169" s="62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59"/>
      <c r="M170" s="62"/>
      <c r="N170" s="62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59"/>
      <c r="M171" s="62"/>
      <c r="N171" s="62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59"/>
      <c r="M172" s="62"/>
      <c r="N172" s="62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59"/>
      <c r="M173" s="62"/>
      <c r="N173" s="62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59"/>
      <c r="M174" s="62"/>
      <c r="N174" s="62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59"/>
      <c r="M175" s="62"/>
      <c r="N175" s="62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59"/>
      <c r="M176" s="62"/>
      <c r="N176" s="62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59"/>
      <c r="M177" s="62"/>
      <c r="N177" s="62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59"/>
      <c r="M178" s="62"/>
      <c r="N178" s="62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59"/>
      <c r="M179" s="62"/>
      <c r="N179" s="62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59"/>
      <c r="M180" s="62"/>
      <c r="N180" s="62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59"/>
      <c r="M181" s="62"/>
      <c r="N181" s="62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59"/>
      <c r="M182" s="62"/>
      <c r="N182" s="62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59"/>
      <c r="M183" s="62"/>
      <c r="N183" s="62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59"/>
      <c r="M184" s="62"/>
      <c r="N184" s="62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59"/>
      <c r="M185" s="62"/>
      <c r="N185" s="62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59"/>
      <c r="M186" s="62"/>
      <c r="N186" s="62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59"/>
      <c r="M187" s="62"/>
      <c r="N187" s="62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59"/>
      <c r="M188" s="62"/>
      <c r="N188" s="62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59"/>
      <c r="M189" s="62"/>
      <c r="N189" s="62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59"/>
      <c r="M190" s="62"/>
      <c r="N190" s="62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59"/>
      <c r="M191" s="62"/>
      <c r="N191" s="62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59"/>
      <c r="M192" s="62"/>
      <c r="N192" s="62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59"/>
      <c r="M193" s="62"/>
      <c r="N193" s="62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59"/>
      <c r="M194" s="62"/>
      <c r="N194" s="62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59"/>
      <c r="M195" s="62"/>
      <c r="N195" s="62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59"/>
      <c r="M196" s="62"/>
      <c r="N196" s="62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59"/>
      <c r="M197" s="62"/>
      <c r="N197" s="62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59"/>
      <c r="M198" s="62"/>
      <c r="N198" s="62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59"/>
      <c r="M199" s="62"/>
      <c r="N199" s="62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59"/>
      <c r="M200" s="62"/>
      <c r="N200" s="62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59"/>
      <c r="M201" s="62"/>
      <c r="N201" s="62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59"/>
      <c r="M202" s="62"/>
      <c r="N202" s="62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59"/>
      <c r="M203" s="62"/>
      <c r="N203" s="62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59"/>
      <c r="M204" s="62"/>
      <c r="N204" s="62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59"/>
      <c r="M205" s="62"/>
      <c r="N205" s="62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59"/>
      <c r="M206" s="62"/>
      <c r="N206" s="62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59"/>
      <c r="M207" s="62"/>
      <c r="N207" s="62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59"/>
      <c r="M208" s="62"/>
      <c r="N208" s="62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59"/>
      <c r="M209" s="62"/>
      <c r="N209" s="62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59"/>
      <c r="M210" s="62"/>
      <c r="N210" s="62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59"/>
      <c r="M211" s="62"/>
      <c r="N211" s="62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59"/>
      <c r="M212" s="62"/>
      <c r="N212" s="62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59"/>
      <c r="M213" s="62"/>
      <c r="N213" s="62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59"/>
      <c r="M214" s="62"/>
      <c r="N214" s="62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59"/>
      <c r="M215" s="62"/>
      <c r="N215" s="62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59"/>
      <c r="M216" s="62"/>
      <c r="N216" s="62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59"/>
      <c r="M217" s="62"/>
      <c r="N217" s="62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59"/>
      <c r="M218" s="62"/>
      <c r="N218" s="62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59"/>
      <c r="M219" s="62"/>
      <c r="N219" s="62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59"/>
      <c r="M220" s="62"/>
      <c r="N220" s="62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59"/>
      <c r="M221" s="62"/>
      <c r="N221" s="62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59"/>
      <c r="M222" s="62"/>
      <c r="N222" s="62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59"/>
      <c r="M223" s="62"/>
      <c r="N223" s="62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59"/>
      <c r="M224" s="62"/>
      <c r="N224" s="62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59"/>
      <c r="M225" s="62"/>
      <c r="N225" s="62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59"/>
      <c r="M226" s="62"/>
      <c r="N226" s="62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59"/>
      <c r="M227" s="62"/>
      <c r="N227" s="62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59"/>
      <c r="M228" s="62"/>
      <c r="N228" s="62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59"/>
      <c r="M229" s="62"/>
      <c r="N229" s="62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59"/>
      <c r="M230" s="62"/>
      <c r="N230" s="62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59"/>
      <c r="M231" s="62"/>
      <c r="N231" s="62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59"/>
      <c r="M232" s="62"/>
      <c r="N232" s="62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59"/>
      <c r="M233" s="62"/>
      <c r="N233" s="62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59"/>
      <c r="M234" s="62"/>
      <c r="N234" s="62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59"/>
      <c r="M235" s="62"/>
      <c r="N235" s="62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59"/>
      <c r="M236" s="62"/>
      <c r="N236" s="62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59"/>
      <c r="M237" s="62"/>
      <c r="N237" s="62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59"/>
      <c r="M238" s="62"/>
      <c r="N238" s="62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59"/>
      <c r="M239" s="62"/>
      <c r="N239" s="62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59"/>
      <c r="M240" s="62"/>
      <c r="N240" s="62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59"/>
      <c r="M241" s="62"/>
      <c r="N241" s="62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59"/>
      <c r="M242" s="62"/>
      <c r="N242" s="62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59"/>
      <c r="M243" s="62"/>
      <c r="N243" s="62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59"/>
      <c r="M244" s="62"/>
      <c r="N244" s="62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59"/>
      <c r="M245" s="62"/>
      <c r="N245" s="62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59"/>
      <c r="M246" s="62"/>
      <c r="N246" s="62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59"/>
      <c r="M247" s="62"/>
      <c r="N247" s="62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59"/>
      <c r="M248" s="62"/>
      <c r="N248" s="62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59"/>
      <c r="M249" s="62"/>
      <c r="N249" s="62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59"/>
      <c r="M250" s="62"/>
      <c r="N250" s="62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59"/>
      <c r="M251" s="62"/>
      <c r="N251" s="62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59"/>
      <c r="M252" s="62"/>
      <c r="N252" s="62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59"/>
      <c r="M253" s="62"/>
      <c r="N253" s="62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59"/>
      <c r="M254" s="62"/>
      <c r="N254" s="62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59"/>
      <c r="M255" s="62"/>
      <c r="N255" s="62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59"/>
      <c r="M256" s="62"/>
      <c r="N256" s="62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59"/>
      <c r="M257" s="62"/>
      <c r="N257" s="62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59"/>
      <c r="M258" s="62"/>
      <c r="N258" s="62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59"/>
      <c r="M259" s="62"/>
      <c r="N259" s="62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59"/>
      <c r="M260" s="62"/>
      <c r="N260" s="62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59"/>
      <c r="M261" s="62"/>
      <c r="N261" s="62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59"/>
      <c r="M262" s="62"/>
      <c r="N262" s="62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59"/>
      <c r="M263" s="62"/>
      <c r="N263" s="62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59"/>
      <c r="M264" s="62"/>
      <c r="N264" s="62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59"/>
      <c r="M265" s="62"/>
      <c r="N265" s="62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59"/>
      <c r="M266" s="62"/>
      <c r="N266" s="62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59"/>
      <c r="M267" s="62"/>
      <c r="N267" s="62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59"/>
      <c r="M268" s="62"/>
      <c r="N268" s="62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59"/>
      <c r="M269" s="62"/>
      <c r="N269" s="62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59"/>
      <c r="M270" s="62"/>
      <c r="N270" s="62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59"/>
      <c r="M271" s="62"/>
      <c r="N271" s="62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59"/>
      <c r="M272" s="62"/>
      <c r="N272" s="62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59"/>
      <c r="M273" s="62"/>
      <c r="N273" s="62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59"/>
      <c r="M274" s="62"/>
      <c r="N274" s="62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59"/>
      <c r="M275" s="62"/>
      <c r="N275" s="62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59"/>
      <c r="M276" s="62"/>
      <c r="N276" s="62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59"/>
      <c r="M277" s="62"/>
      <c r="N277" s="62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59"/>
      <c r="M278" s="62"/>
      <c r="N278" s="62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59"/>
      <c r="M279" s="62"/>
      <c r="N279" s="62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59"/>
      <c r="M280" s="62"/>
      <c r="N280" s="62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59"/>
      <c r="M281" s="62"/>
      <c r="N281" s="62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59"/>
      <c r="M282" s="62"/>
      <c r="N282" s="62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59"/>
      <c r="M283" s="62"/>
      <c r="N283" s="62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59"/>
      <c r="M284" s="62"/>
      <c r="N284" s="62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59"/>
      <c r="M285" s="62"/>
      <c r="N285" s="62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59"/>
      <c r="M286" s="62"/>
      <c r="N286" s="62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59"/>
      <c r="M287" s="62"/>
      <c r="N287" s="62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59"/>
      <c r="M288" s="62"/>
      <c r="N288" s="62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59"/>
      <c r="M289" s="62"/>
      <c r="N289" s="62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59"/>
      <c r="M290" s="62"/>
      <c r="N290" s="62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59"/>
      <c r="M291" s="62"/>
      <c r="N291" s="62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59"/>
      <c r="M292" s="62"/>
      <c r="N292" s="62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59"/>
      <c r="M293" s="62"/>
      <c r="N293" s="62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59"/>
      <c r="M294" s="62"/>
      <c r="N294" s="62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59"/>
      <c r="M295" s="62"/>
      <c r="N295" s="62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59"/>
      <c r="M296" s="62"/>
      <c r="N296" s="62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59"/>
      <c r="M297" s="62"/>
      <c r="N297" s="62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59"/>
      <c r="M298" s="62"/>
      <c r="N298" s="62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59"/>
      <c r="M299" s="62"/>
      <c r="N299" s="62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59"/>
      <c r="M300" s="62"/>
      <c r="N300" s="62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59"/>
      <c r="M301" s="62"/>
      <c r="N301" s="62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59"/>
      <c r="M302" s="62"/>
      <c r="N302" s="62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59"/>
      <c r="M303" s="62"/>
      <c r="N303" s="62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59"/>
      <c r="M304" s="62"/>
      <c r="N304" s="62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59"/>
      <c r="M305" s="62"/>
      <c r="N305" s="62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59"/>
      <c r="M306" s="62"/>
      <c r="N306" s="62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59"/>
      <c r="M307" s="62"/>
      <c r="N307" s="62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59"/>
      <c r="M308" s="62"/>
      <c r="N308" s="62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59"/>
      <c r="M309" s="62"/>
      <c r="N309" s="62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59"/>
      <c r="M310" s="62"/>
      <c r="N310" s="62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59"/>
      <c r="M311" s="62"/>
      <c r="N311" s="62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59"/>
      <c r="M312" s="62"/>
      <c r="N312" s="62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59"/>
      <c r="M313" s="62"/>
      <c r="N313" s="62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59"/>
      <c r="M314" s="62"/>
      <c r="N314" s="62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59"/>
      <c r="M315" s="62"/>
      <c r="N315" s="62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59"/>
      <c r="M316" s="62"/>
      <c r="N316" s="62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59"/>
      <c r="M317" s="62"/>
      <c r="N317" s="62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59"/>
      <c r="M318" s="62"/>
      <c r="N318" s="62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59"/>
      <c r="M319" s="62"/>
      <c r="N319" s="62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59"/>
      <c r="M320" s="62"/>
      <c r="N320" s="62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59"/>
      <c r="M321" s="62"/>
      <c r="N321" s="62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59"/>
      <c r="M322" s="62"/>
      <c r="N322" s="62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59"/>
      <c r="M323" s="62"/>
      <c r="N323" s="62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59"/>
      <c r="M324" s="62"/>
      <c r="N324" s="62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59"/>
      <c r="M325" s="62"/>
      <c r="N325" s="62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59"/>
      <c r="M326" s="62"/>
      <c r="N326" s="62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59"/>
      <c r="M327" s="62"/>
      <c r="N327" s="62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59"/>
      <c r="M328" s="62"/>
      <c r="N328" s="62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59"/>
      <c r="M329" s="62"/>
      <c r="N329" s="62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59"/>
      <c r="M330" s="62"/>
      <c r="N330" s="62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59"/>
      <c r="M331" s="62"/>
      <c r="N331" s="62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59"/>
      <c r="M332" s="62"/>
      <c r="N332" s="62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59"/>
      <c r="M333" s="62"/>
      <c r="N333" s="62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59"/>
      <c r="M334" s="62"/>
      <c r="N334" s="62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59"/>
      <c r="M335" s="62"/>
      <c r="N335" s="62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59"/>
      <c r="M336" s="62"/>
      <c r="N336" s="62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59"/>
      <c r="M337" s="62"/>
      <c r="N337" s="62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59"/>
      <c r="M338" s="62"/>
      <c r="N338" s="62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59"/>
      <c r="M339" s="62"/>
      <c r="N339" s="62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59"/>
      <c r="M340" s="62"/>
      <c r="N340" s="62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59"/>
      <c r="M341" s="62"/>
      <c r="N341" s="62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59"/>
      <c r="M342" s="62"/>
      <c r="N342" s="62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59"/>
      <c r="M343" s="62"/>
      <c r="N343" s="62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59"/>
      <c r="M344" s="62"/>
      <c r="N344" s="62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59"/>
      <c r="M345" s="62"/>
      <c r="N345" s="62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59"/>
      <c r="M346" s="62"/>
      <c r="N346" s="62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59"/>
      <c r="M347" s="62"/>
      <c r="N347" s="62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59"/>
      <c r="M348" s="62"/>
      <c r="N348" s="62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59"/>
      <c r="M349" s="62"/>
      <c r="N349" s="62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59"/>
      <c r="M350" s="62"/>
      <c r="N350" s="62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59"/>
      <c r="M351" s="62"/>
      <c r="N351" s="62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59"/>
      <c r="M352" s="62"/>
      <c r="N352" s="62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59"/>
      <c r="M353" s="62"/>
      <c r="N353" s="62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59"/>
      <c r="M354" s="62"/>
      <c r="N354" s="62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59"/>
      <c r="M355" s="62"/>
      <c r="N355" s="62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59"/>
      <c r="M356" s="62"/>
      <c r="N356" s="62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59"/>
      <c r="M357" s="62"/>
      <c r="N357" s="62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59"/>
      <c r="M358" s="62"/>
      <c r="N358" s="62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59"/>
      <c r="M359" s="62"/>
      <c r="N359" s="62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59"/>
      <c r="M360" s="62"/>
      <c r="N360" s="62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59"/>
      <c r="M361" s="62"/>
      <c r="N361" s="62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59"/>
      <c r="M362" s="62"/>
      <c r="N362" s="62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59"/>
      <c r="M363" s="62"/>
      <c r="N363" s="62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59"/>
      <c r="M364" s="62"/>
      <c r="N364" s="62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59"/>
      <c r="M365" s="62"/>
      <c r="N365" s="62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59"/>
      <c r="M366" s="62"/>
      <c r="N366" s="62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59"/>
      <c r="M367" s="62"/>
      <c r="N367" s="62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59"/>
      <c r="M368" s="62"/>
      <c r="N368" s="62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59"/>
      <c r="M369" s="62"/>
      <c r="N369" s="62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59"/>
      <c r="M370" s="62"/>
      <c r="N370" s="62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59"/>
      <c r="M371" s="62"/>
      <c r="N371" s="62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59"/>
      <c r="M372" s="62"/>
      <c r="N372" s="62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59"/>
      <c r="M373" s="62"/>
      <c r="N373" s="62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59"/>
      <c r="M374" s="62"/>
      <c r="N374" s="62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59"/>
      <c r="M375" s="62"/>
      <c r="N375" s="62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59"/>
      <c r="M376" s="62"/>
      <c r="N376" s="62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59"/>
      <c r="M377" s="62"/>
      <c r="N377" s="62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59"/>
      <c r="M378" s="62"/>
      <c r="N378" s="62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59"/>
      <c r="M379" s="62"/>
      <c r="N379" s="62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59"/>
      <c r="M380" s="62"/>
      <c r="N380" s="62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59"/>
      <c r="M381" s="62"/>
      <c r="N381" s="62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59"/>
      <c r="M382" s="62"/>
      <c r="N382" s="62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59"/>
      <c r="M383" s="62"/>
      <c r="N383" s="62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59"/>
      <c r="M384" s="62"/>
      <c r="N384" s="62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59"/>
      <c r="M385" s="62"/>
      <c r="N385" s="62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59"/>
      <c r="M386" s="62"/>
      <c r="N386" s="62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59"/>
      <c r="M387" s="62"/>
      <c r="N387" s="62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59"/>
      <c r="M388" s="62"/>
      <c r="N388" s="62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59"/>
      <c r="M389" s="62"/>
      <c r="N389" s="62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59"/>
      <c r="M390" s="62"/>
      <c r="N390" s="62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59"/>
      <c r="M391" s="62"/>
      <c r="N391" s="62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59"/>
      <c r="M392" s="62"/>
      <c r="N392" s="62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59"/>
      <c r="M393" s="62"/>
      <c r="N393" s="62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59"/>
      <c r="M394" s="62"/>
      <c r="N394" s="62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59"/>
      <c r="M395" s="62"/>
      <c r="N395" s="62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59"/>
      <c r="M396" s="62"/>
      <c r="N396" s="62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59"/>
      <c r="M397" s="62"/>
      <c r="N397" s="62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59"/>
      <c r="M398" s="62"/>
      <c r="N398" s="62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59"/>
      <c r="M399" s="62"/>
      <c r="N399" s="62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59"/>
      <c r="M400" s="62"/>
      <c r="N400" s="62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59"/>
      <c r="M401" s="62"/>
      <c r="N401" s="62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59"/>
      <c r="M402" s="62"/>
      <c r="N402" s="62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59"/>
      <c r="M403" s="62"/>
      <c r="N403" s="62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59"/>
      <c r="M404" s="62"/>
      <c r="N404" s="62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59"/>
      <c r="M405" s="62"/>
      <c r="N405" s="62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59"/>
      <c r="M406" s="62"/>
      <c r="N406" s="62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59"/>
      <c r="M407" s="62"/>
      <c r="N407" s="62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59"/>
      <c r="M408" s="62"/>
      <c r="N408" s="62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59"/>
      <c r="M409" s="62"/>
      <c r="N409" s="62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59"/>
      <c r="M410" s="62"/>
      <c r="N410" s="62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59"/>
      <c r="M411" s="62"/>
      <c r="N411" s="62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59"/>
      <c r="M412" s="62"/>
      <c r="N412" s="62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59"/>
      <c r="M413" s="62"/>
      <c r="N413" s="62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59"/>
      <c r="M414" s="62"/>
      <c r="N414" s="62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59"/>
      <c r="M415" s="62"/>
      <c r="N415" s="62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59"/>
      <c r="M416" s="62"/>
      <c r="N416" s="62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59"/>
      <c r="M417" s="62"/>
      <c r="N417" s="62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59"/>
      <c r="M418" s="62"/>
      <c r="N418" s="62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59"/>
      <c r="M419" s="62"/>
      <c r="N419" s="62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59"/>
      <c r="M420" s="62"/>
      <c r="N420" s="62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59"/>
      <c r="M421" s="62"/>
      <c r="N421" s="62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59"/>
      <c r="M422" s="62"/>
      <c r="N422" s="62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59"/>
      <c r="M423" s="62"/>
      <c r="N423" s="62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59"/>
      <c r="M424" s="62"/>
      <c r="N424" s="62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59"/>
      <c r="M425" s="62"/>
      <c r="N425" s="62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59"/>
      <c r="M426" s="62"/>
      <c r="N426" s="62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59"/>
      <c r="M427" s="62"/>
      <c r="N427" s="62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59"/>
      <c r="M428" s="62"/>
      <c r="N428" s="62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59"/>
      <c r="M429" s="62"/>
      <c r="N429" s="62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59"/>
      <c r="M430" s="62"/>
      <c r="N430" s="62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59"/>
      <c r="M431" s="62"/>
      <c r="N431" s="62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59"/>
      <c r="M432" s="62"/>
      <c r="N432" s="62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59"/>
      <c r="M433" s="62"/>
      <c r="N433" s="62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59"/>
      <c r="M434" s="62"/>
      <c r="N434" s="62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59"/>
      <c r="M435" s="62"/>
      <c r="N435" s="62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59"/>
      <c r="M436" s="62"/>
      <c r="N436" s="62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59"/>
      <c r="M437" s="62"/>
      <c r="N437" s="62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59"/>
      <c r="M438" s="62"/>
      <c r="N438" s="62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59"/>
      <c r="M439" s="62"/>
      <c r="N439" s="62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59"/>
      <c r="M440" s="62"/>
      <c r="N440" s="62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59"/>
      <c r="M441" s="62"/>
      <c r="N441" s="62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59"/>
      <c r="M442" s="62"/>
      <c r="N442" s="62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59"/>
      <c r="M443" s="62"/>
      <c r="N443" s="62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59"/>
      <c r="M444" s="62"/>
      <c r="N444" s="62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59"/>
      <c r="M445" s="62"/>
      <c r="N445" s="62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59"/>
      <c r="M446" s="62"/>
      <c r="N446" s="62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59"/>
      <c r="M447" s="62"/>
      <c r="N447" s="62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59"/>
      <c r="M448" s="62"/>
      <c r="N448" s="62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59"/>
      <c r="M449" s="62"/>
      <c r="N449" s="62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59"/>
      <c r="M450" s="62"/>
      <c r="N450" s="62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59"/>
      <c r="M451" s="62"/>
      <c r="N451" s="62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59"/>
      <c r="M452" s="62"/>
      <c r="N452" s="62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59"/>
      <c r="M453" s="62"/>
      <c r="N453" s="62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59"/>
      <c r="M454" s="62"/>
      <c r="N454" s="62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59"/>
      <c r="M455" s="62"/>
      <c r="N455" s="62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59"/>
      <c r="M456" s="62"/>
      <c r="N456" s="62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59"/>
      <c r="M457" s="62"/>
      <c r="N457" s="62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59"/>
      <c r="M458" s="62"/>
      <c r="N458" s="62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59"/>
      <c r="M459" s="62"/>
      <c r="N459" s="62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59"/>
      <c r="M460" s="62"/>
      <c r="N460" s="62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59"/>
      <c r="M461" s="62"/>
      <c r="N461" s="62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59"/>
      <c r="M462" s="62"/>
      <c r="N462" s="62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59"/>
      <c r="M463" s="62"/>
      <c r="N463" s="62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59"/>
      <c r="M464" s="62"/>
      <c r="N464" s="62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59"/>
      <c r="M465" s="62"/>
      <c r="N465" s="62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59"/>
      <c r="M466" s="62"/>
      <c r="N466" s="62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59"/>
      <c r="M467" s="62"/>
      <c r="N467" s="62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59"/>
      <c r="M468" s="62"/>
      <c r="N468" s="62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59"/>
      <c r="M469" s="62"/>
      <c r="N469" s="62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59"/>
      <c r="M470" s="62"/>
      <c r="N470" s="62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59"/>
      <c r="M471" s="62"/>
      <c r="N471" s="62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59"/>
      <c r="M472" s="62"/>
      <c r="N472" s="62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59"/>
      <c r="M473" s="62"/>
      <c r="N473" s="62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59"/>
      <c r="M474" s="62"/>
      <c r="N474" s="62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59"/>
      <c r="M475" s="62"/>
      <c r="N475" s="62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59"/>
      <c r="M476" s="62"/>
      <c r="N476" s="62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59"/>
      <c r="M477" s="62"/>
      <c r="N477" s="62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59"/>
      <c r="M478" s="62"/>
      <c r="N478" s="62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59"/>
      <c r="M479" s="62"/>
      <c r="N479" s="62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59"/>
      <c r="M480" s="62"/>
      <c r="N480" s="62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59"/>
      <c r="M481" s="62"/>
      <c r="N481" s="62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59"/>
      <c r="M482" s="62"/>
      <c r="N482" s="62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59"/>
      <c r="M483" s="62"/>
      <c r="N483" s="62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59"/>
      <c r="M484" s="62"/>
      <c r="N484" s="62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59"/>
      <c r="M485" s="62"/>
      <c r="N485" s="62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59"/>
      <c r="M486" s="62"/>
      <c r="N486" s="62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59"/>
      <c r="M487" s="62"/>
      <c r="N487" s="62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59"/>
      <c r="M488" s="62"/>
      <c r="N488" s="62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59"/>
      <c r="M489" s="62"/>
      <c r="N489" s="62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59"/>
      <c r="M490" s="62"/>
      <c r="N490" s="62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59"/>
      <c r="M491" s="62"/>
      <c r="N491" s="62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59"/>
      <c r="M492" s="62"/>
      <c r="N492" s="62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59"/>
      <c r="M493" s="62"/>
      <c r="N493" s="62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59"/>
      <c r="M494" s="62"/>
      <c r="N494" s="62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59"/>
      <c r="M495" s="62"/>
      <c r="N495" s="62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59"/>
      <c r="M496" s="62"/>
      <c r="N496" s="62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59"/>
      <c r="M497" s="62"/>
      <c r="N497" s="62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59"/>
      <c r="M498" s="62"/>
      <c r="N498" s="62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59"/>
      <c r="M499" s="62"/>
      <c r="N499" s="62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59"/>
      <c r="M500" s="62"/>
      <c r="N500" s="62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59"/>
      <c r="M501" s="62"/>
      <c r="N501" s="62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59"/>
      <c r="M502" s="62"/>
      <c r="N502" s="62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59"/>
      <c r="M503" s="62"/>
      <c r="N503" s="62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59"/>
      <c r="M504" s="62"/>
      <c r="N504" s="62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59"/>
      <c r="M505" s="62"/>
      <c r="N505" s="62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59"/>
      <c r="M506" s="62"/>
      <c r="N506" s="62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59"/>
      <c r="M507" s="62"/>
      <c r="N507" s="62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59"/>
      <c r="M508" s="62"/>
      <c r="N508" s="62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59"/>
      <c r="M509" s="62"/>
      <c r="N509" s="62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59"/>
      <c r="M510" s="62"/>
      <c r="N510" s="62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59"/>
      <c r="M511" s="62"/>
      <c r="N511" s="62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59"/>
      <c r="M512" s="62"/>
      <c r="N512" s="62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59"/>
      <c r="M513" s="62"/>
      <c r="N513" s="62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59"/>
      <c r="M514" s="62"/>
      <c r="N514" s="62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59"/>
      <c r="M515" s="62"/>
      <c r="N515" s="62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59"/>
      <c r="M516" s="62"/>
      <c r="N516" s="62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59"/>
      <c r="M517" s="62"/>
      <c r="N517" s="62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59"/>
      <c r="M518" s="62"/>
      <c r="N518" s="62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59"/>
      <c r="M519" s="62"/>
      <c r="N519" s="62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59"/>
      <c r="M520" s="62"/>
      <c r="N520" s="62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59"/>
      <c r="M521" s="62"/>
      <c r="N521" s="62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59"/>
      <c r="M522" s="62"/>
      <c r="N522" s="62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59"/>
      <c r="M523" s="62"/>
      <c r="N523" s="62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59"/>
      <c r="M524" s="62"/>
      <c r="N524" s="62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59"/>
      <c r="M525" s="62"/>
      <c r="N525" s="62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59"/>
      <c r="M526" s="62"/>
      <c r="N526" s="62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59"/>
      <c r="M527" s="62"/>
      <c r="N527" s="62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59"/>
      <c r="M528" s="62"/>
      <c r="N528" s="62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59"/>
      <c r="M529" s="62"/>
      <c r="N529" s="62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59"/>
      <c r="M530" s="62"/>
      <c r="N530" s="62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59"/>
      <c r="M531" s="62"/>
      <c r="N531" s="62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59"/>
      <c r="M532" s="62"/>
      <c r="N532" s="62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59"/>
      <c r="M533" s="62"/>
      <c r="N533" s="62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59"/>
      <c r="M534" s="62"/>
      <c r="N534" s="62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59"/>
      <c r="M535" s="62"/>
      <c r="N535" s="62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59"/>
      <c r="M536" s="62"/>
      <c r="N536" s="62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59"/>
      <c r="M537" s="62"/>
      <c r="N537" s="62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59"/>
      <c r="M538" s="62"/>
      <c r="N538" s="62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59"/>
      <c r="M539" s="62"/>
      <c r="N539" s="62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59"/>
      <c r="M540" s="62"/>
      <c r="N540" s="62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59"/>
      <c r="M541" s="62"/>
      <c r="N541" s="62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59"/>
      <c r="M542" s="62"/>
      <c r="N542" s="62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59"/>
      <c r="M543" s="62"/>
      <c r="N543" s="62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59"/>
      <c r="M544" s="62"/>
      <c r="N544" s="62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59"/>
      <c r="M545" s="62"/>
      <c r="N545" s="62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59"/>
      <c r="M546" s="62"/>
      <c r="N546" s="62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59"/>
      <c r="M547" s="62"/>
      <c r="N547" s="62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59"/>
      <c r="M548" s="62"/>
      <c r="N548" s="62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59"/>
      <c r="M549" s="62"/>
      <c r="N549" s="62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59"/>
      <c r="M550" s="62"/>
      <c r="N550" s="62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59"/>
      <c r="M551" s="62"/>
      <c r="N551" s="62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59"/>
      <c r="M552" s="62"/>
      <c r="N552" s="62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59"/>
      <c r="M553" s="62"/>
      <c r="N553" s="62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59"/>
      <c r="M554" s="62"/>
      <c r="N554" s="62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59"/>
      <c r="M555" s="62"/>
      <c r="N555" s="62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59"/>
      <c r="M556" s="62"/>
      <c r="N556" s="62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59"/>
      <c r="M557" s="62"/>
      <c r="N557" s="62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59"/>
      <c r="M558" s="62"/>
      <c r="N558" s="62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59"/>
      <c r="M559" s="62"/>
      <c r="N559" s="62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59"/>
      <c r="M560" s="62"/>
      <c r="N560" s="62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59"/>
      <c r="M561" s="62"/>
      <c r="N561" s="62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59"/>
      <c r="M562" s="62"/>
      <c r="N562" s="62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59"/>
      <c r="M563" s="62"/>
      <c r="N563" s="62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59"/>
      <c r="M564" s="62"/>
      <c r="N564" s="62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59"/>
      <c r="M565" s="62"/>
      <c r="N565" s="62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59"/>
      <c r="M566" s="62"/>
      <c r="N566" s="62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59"/>
      <c r="M567" s="62"/>
      <c r="N567" s="62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59"/>
      <c r="M568" s="62"/>
      <c r="N568" s="62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59"/>
      <c r="M569" s="62"/>
      <c r="N569" s="62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59"/>
      <c r="M570" s="62"/>
      <c r="N570" s="62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59"/>
      <c r="M571" s="62"/>
      <c r="N571" s="62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59"/>
      <c r="M572" s="62"/>
      <c r="N572" s="62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59"/>
      <c r="M573" s="62"/>
      <c r="N573" s="62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59"/>
      <c r="M574" s="62"/>
      <c r="N574" s="62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59"/>
      <c r="M575" s="62"/>
      <c r="N575" s="62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59"/>
      <c r="M576" s="62"/>
      <c r="N576" s="62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59"/>
      <c r="M577" s="62"/>
      <c r="N577" s="62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59"/>
      <c r="M578" s="62"/>
      <c r="N578" s="62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59"/>
      <c r="M579" s="62"/>
      <c r="N579" s="62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59"/>
      <c r="M580" s="62"/>
      <c r="N580" s="62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59"/>
      <c r="M581" s="62"/>
      <c r="N581" s="62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59"/>
      <c r="M582" s="62"/>
      <c r="N582" s="62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59"/>
      <c r="M583" s="62"/>
      <c r="N583" s="62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59"/>
      <c r="M584" s="62"/>
      <c r="N584" s="62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59"/>
      <c r="M585" s="62"/>
      <c r="N585" s="62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59"/>
      <c r="M586" s="62"/>
      <c r="N586" s="62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59"/>
      <c r="M587" s="62"/>
      <c r="N587" s="62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59"/>
      <c r="M588" s="62"/>
      <c r="N588" s="62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59"/>
      <c r="M589" s="62"/>
      <c r="N589" s="62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59"/>
      <c r="M590" s="62"/>
      <c r="N590" s="62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59"/>
      <c r="M591" s="62"/>
      <c r="N591" s="62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59"/>
      <c r="M592" s="62"/>
      <c r="N592" s="62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59"/>
      <c r="M593" s="62"/>
      <c r="N593" s="62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59"/>
      <c r="M594" s="62"/>
      <c r="N594" s="62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59"/>
      <c r="M595" s="62"/>
      <c r="N595" s="62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59"/>
      <c r="M596" s="62"/>
      <c r="N596" s="62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59"/>
      <c r="M597" s="62"/>
      <c r="N597" s="62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59"/>
      <c r="M598" s="62"/>
      <c r="N598" s="62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59"/>
      <c r="M599" s="62"/>
      <c r="N599" s="62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59"/>
      <c r="M600" s="62"/>
      <c r="N600" s="62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59"/>
      <c r="M601" s="62"/>
      <c r="N601" s="62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59"/>
      <c r="M602" s="62"/>
      <c r="N602" s="62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59"/>
      <c r="M603" s="62"/>
      <c r="N603" s="62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59"/>
      <c r="M604" s="62"/>
      <c r="N604" s="62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59"/>
      <c r="M605" s="62"/>
      <c r="N605" s="62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59"/>
      <c r="M606" s="62"/>
      <c r="N606" s="62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59"/>
      <c r="M607" s="62"/>
      <c r="N607" s="62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59"/>
      <c r="M608" s="62"/>
      <c r="N608" s="62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59"/>
      <c r="M609" s="62"/>
      <c r="N609" s="62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59"/>
      <c r="M610" s="62"/>
      <c r="N610" s="62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59"/>
      <c r="M611" s="62"/>
      <c r="N611" s="62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59"/>
      <c r="M612" s="62"/>
      <c r="N612" s="62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59"/>
      <c r="M613" s="62"/>
      <c r="N613" s="62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59"/>
      <c r="M614" s="62"/>
      <c r="N614" s="62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59"/>
      <c r="M615" s="62"/>
      <c r="N615" s="62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59"/>
      <c r="M616" s="62"/>
      <c r="N616" s="62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59"/>
      <c r="M617" s="62"/>
      <c r="N617" s="62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59"/>
      <c r="M618" s="62"/>
      <c r="N618" s="62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59"/>
      <c r="M619" s="62"/>
      <c r="N619" s="62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59"/>
      <c r="M620" s="62"/>
      <c r="N620" s="62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59"/>
      <c r="M621" s="62"/>
      <c r="N621" s="62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59"/>
      <c r="M622" s="62"/>
      <c r="N622" s="62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59"/>
      <c r="M623" s="62"/>
      <c r="N623" s="62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59"/>
      <c r="M624" s="62"/>
      <c r="N624" s="62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59"/>
      <c r="M625" s="62"/>
      <c r="N625" s="62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59"/>
      <c r="M626" s="62"/>
      <c r="N626" s="62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59"/>
      <c r="M627" s="62"/>
      <c r="N627" s="62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59"/>
      <c r="M628" s="62"/>
      <c r="N628" s="62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59"/>
      <c r="M629" s="62"/>
      <c r="N629" s="62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59"/>
      <c r="M630" s="62"/>
      <c r="N630" s="62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59"/>
      <c r="M631" s="62"/>
      <c r="N631" s="62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59"/>
      <c r="M632" s="62"/>
      <c r="N632" s="62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59"/>
      <c r="M633" s="62"/>
      <c r="N633" s="62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59"/>
      <c r="M634" s="62"/>
      <c r="N634" s="62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59"/>
      <c r="M635" s="62"/>
      <c r="N635" s="62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59"/>
      <c r="M636" s="62"/>
      <c r="N636" s="62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59"/>
      <c r="M637" s="62"/>
      <c r="N637" s="62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59"/>
      <c r="M638" s="62"/>
      <c r="N638" s="62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59"/>
      <c r="M639" s="62"/>
      <c r="N639" s="62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59"/>
      <c r="M640" s="62"/>
      <c r="N640" s="62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59"/>
      <c r="M641" s="62"/>
      <c r="N641" s="62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59"/>
      <c r="M642" s="62"/>
      <c r="N642" s="62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59"/>
      <c r="M643" s="62"/>
      <c r="N643" s="62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59"/>
      <c r="M644" s="62"/>
      <c r="N644" s="62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59"/>
      <c r="M645" s="62"/>
      <c r="N645" s="62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59"/>
      <c r="M646" s="62"/>
      <c r="N646" s="62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59"/>
      <c r="M647" s="62"/>
      <c r="N647" s="62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59"/>
      <c r="M648" s="62"/>
      <c r="N648" s="62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59"/>
      <c r="M649" s="62"/>
      <c r="N649" s="62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59"/>
      <c r="M650" s="62"/>
      <c r="N650" s="62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59"/>
      <c r="M651" s="62"/>
      <c r="N651" s="62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59"/>
      <c r="M652" s="62"/>
      <c r="N652" s="62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59"/>
      <c r="M653" s="62"/>
      <c r="N653" s="62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59"/>
      <c r="M654" s="62"/>
      <c r="N654" s="62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59"/>
      <c r="M655" s="62"/>
      <c r="N655" s="62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59"/>
      <c r="M656" s="62"/>
      <c r="N656" s="62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59"/>
      <c r="M657" s="62"/>
      <c r="N657" s="62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59"/>
      <c r="M658" s="62"/>
      <c r="N658" s="62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59"/>
      <c r="M659" s="62"/>
      <c r="N659" s="62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59"/>
      <c r="M660" s="62"/>
      <c r="N660" s="62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59"/>
      <c r="M661" s="62"/>
      <c r="N661" s="62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59"/>
      <c r="M662" s="62"/>
      <c r="N662" s="62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59"/>
      <c r="M663" s="62"/>
      <c r="N663" s="62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59"/>
      <c r="M664" s="62"/>
      <c r="N664" s="62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59"/>
      <c r="M665" s="62"/>
      <c r="N665" s="62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59"/>
      <c r="M666" s="62"/>
      <c r="N666" s="62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59"/>
      <c r="M667" s="62"/>
      <c r="N667" s="62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59"/>
      <c r="M668" s="62"/>
      <c r="N668" s="62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59"/>
      <c r="M669" s="62"/>
      <c r="N669" s="62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59"/>
      <c r="M670" s="62"/>
      <c r="N670" s="62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59"/>
      <c r="M671" s="62"/>
      <c r="N671" s="62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59"/>
      <c r="M672" s="62"/>
      <c r="N672" s="62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59"/>
      <c r="M673" s="62"/>
      <c r="N673" s="62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59"/>
      <c r="M674" s="62"/>
      <c r="N674" s="62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59"/>
      <c r="M675" s="62"/>
      <c r="N675" s="62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59"/>
      <c r="M676" s="62"/>
      <c r="N676" s="62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59"/>
      <c r="M677" s="62"/>
      <c r="N677" s="62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59"/>
      <c r="M678" s="62"/>
      <c r="N678" s="62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59"/>
      <c r="M679" s="62"/>
      <c r="N679" s="62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59"/>
      <c r="M680" s="62"/>
      <c r="N680" s="62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59"/>
      <c r="M681" s="62"/>
      <c r="N681" s="62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59"/>
      <c r="M682" s="62"/>
      <c r="N682" s="62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59"/>
      <c r="M683" s="62"/>
      <c r="N683" s="62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59"/>
      <c r="M684" s="62"/>
      <c r="N684" s="62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59"/>
      <c r="M685" s="62"/>
      <c r="N685" s="62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59"/>
      <c r="M686" s="62"/>
      <c r="N686" s="62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59"/>
      <c r="M687" s="62"/>
      <c r="N687" s="62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59"/>
      <c r="M688" s="62"/>
      <c r="N688" s="62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59"/>
      <c r="M689" s="62"/>
      <c r="N689" s="62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59"/>
      <c r="M690" s="62"/>
      <c r="N690" s="62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59"/>
      <c r="M691" s="62"/>
      <c r="N691" s="62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59"/>
      <c r="M692" s="62"/>
      <c r="N692" s="62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59"/>
      <c r="M693" s="62"/>
      <c r="N693" s="62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59"/>
      <c r="M694" s="62"/>
      <c r="N694" s="62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59"/>
      <c r="M695" s="62"/>
      <c r="N695" s="62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59"/>
      <c r="M696" s="62"/>
      <c r="N696" s="62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59"/>
      <c r="M697" s="62"/>
      <c r="N697" s="62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59"/>
      <c r="M698" s="62"/>
      <c r="N698" s="62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59"/>
      <c r="M699" s="62"/>
      <c r="N699" s="62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59"/>
      <c r="M700" s="62"/>
      <c r="N700" s="62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59"/>
      <c r="M701" s="62"/>
      <c r="N701" s="62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59"/>
      <c r="M702" s="62"/>
      <c r="N702" s="62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59"/>
      <c r="M703" s="62"/>
      <c r="N703" s="62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59"/>
      <c r="M704" s="62"/>
      <c r="N704" s="62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59"/>
      <c r="M705" s="62"/>
      <c r="N705" s="62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59"/>
      <c r="M706" s="62"/>
      <c r="N706" s="62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59"/>
      <c r="M707" s="62"/>
      <c r="N707" s="62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59"/>
      <c r="M708" s="62"/>
      <c r="N708" s="62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59"/>
      <c r="M709" s="62"/>
      <c r="N709" s="62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59"/>
      <c r="M710" s="62"/>
      <c r="N710" s="62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59"/>
      <c r="M711" s="62"/>
      <c r="N711" s="62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59"/>
      <c r="M712" s="62"/>
      <c r="N712" s="62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59"/>
      <c r="M713" s="62"/>
      <c r="N713" s="62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59"/>
      <c r="M714" s="62"/>
      <c r="N714" s="62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59"/>
      <c r="M715" s="62"/>
      <c r="N715" s="62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59"/>
      <c r="M716" s="62"/>
      <c r="N716" s="62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59"/>
      <c r="M717" s="62"/>
      <c r="N717" s="62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59"/>
      <c r="M718" s="62"/>
      <c r="N718" s="62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59"/>
      <c r="M719" s="62"/>
      <c r="N719" s="62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59"/>
      <c r="M720" s="62"/>
      <c r="N720" s="62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59"/>
      <c r="M721" s="62"/>
      <c r="N721" s="62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59"/>
      <c r="M722" s="62"/>
      <c r="N722" s="62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59"/>
      <c r="M723" s="62"/>
      <c r="N723" s="62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59"/>
      <c r="M724" s="62"/>
      <c r="N724" s="62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59"/>
      <c r="M725" s="62"/>
      <c r="N725" s="62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59"/>
      <c r="M726" s="62"/>
      <c r="N726" s="62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59"/>
      <c r="M727" s="62"/>
      <c r="N727" s="62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59"/>
      <c r="M728" s="62"/>
      <c r="N728" s="62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59"/>
      <c r="M729" s="62"/>
      <c r="N729" s="62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59"/>
      <c r="M730" s="62"/>
      <c r="N730" s="62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59"/>
      <c r="M731" s="62"/>
      <c r="N731" s="62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59"/>
      <c r="M732" s="62"/>
      <c r="N732" s="62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59"/>
      <c r="M733" s="62"/>
      <c r="N733" s="62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59"/>
      <c r="M734" s="62"/>
      <c r="N734" s="62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59"/>
      <c r="M735" s="62"/>
      <c r="N735" s="62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59"/>
      <c r="M736" s="62"/>
      <c r="N736" s="62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59"/>
      <c r="M737" s="62"/>
      <c r="N737" s="62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59"/>
      <c r="M738" s="62"/>
      <c r="N738" s="62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59"/>
      <c r="M739" s="62"/>
      <c r="N739" s="62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59"/>
      <c r="M740" s="62"/>
      <c r="N740" s="62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59"/>
      <c r="M741" s="62"/>
      <c r="N741" s="62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59"/>
      <c r="M742" s="62"/>
      <c r="N742" s="62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59"/>
      <c r="M743" s="62"/>
      <c r="N743" s="62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59"/>
      <c r="M744" s="62"/>
      <c r="N744" s="62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59"/>
      <c r="M745" s="62"/>
      <c r="N745" s="62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59"/>
      <c r="M746" s="62"/>
      <c r="N746" s="62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59"/>
      <c r="M747" s="62"/>
      <c r="N747" s="62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59"/>
      <c r="M748" s="62"/>
      <c r="N748" s="62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59"/>
      <c r="M749" s="62"/>
      <c r="N749" s="62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59"/>
      <c r="M750" s="62"/>
      <c r="N750" s="62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59"/>
      <c r="M751" s="62"/>
      <c r="N751" s="62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59"/>
      <c r="M752" s="62"/>
      <c r="N752" s="62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59"/>
      <c r="M753" s="62"/>
      <c r="N753" s="62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59"/>
      <c r="M754" s="62"/>
      <c r="N754" s="62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59"/>
      <c r="M755" s="62"/>
      <c r="N755" s="62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59"/>
      <c r="M756" s="62"/>
      <c r="N756" s="62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59"/>
      <c r="M757" s="62"/>
      <c r="N757" s="62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59"/>
      <c r="M758" s="62"/>
      <c r="N758" s="62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59"/>
      <c r="M759" s="62"/>
      <c r="N759" s="62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59"/>
      <c r="M760" s="62"/>
      <c r="N760" s="62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59"/>
      <c r="M761" s="62"/>
      <c r="N761" s="62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59"/>
      <c r="M762" s="62"/>
      <c r="N762" s="62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59"/>
      <c r="M763" s="62"/>
      <c r="N763" s="62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59"/>
      <c r="M764" s="62"/>
      <c r="N764" s="62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59"/>
      <c r="M765" s="62"/>
      <c r="N765" s="62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59"/>
      <c r="M766" s="62"/>
      <c r="N766" s="62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59"/>
      <c r="M767" s="62"/>
      <c r="N767" s="62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59"/>
      <c r="M768" s="62"/>
      <c r="N768" s="62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59"/>
      <c r="M769" s="62"/>
      <c r="N769" s="62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59"/>
      <c r="M770" s="62"/>
      <c r="N770" s="62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59"/>
      <c r="M771" s="62"/>
      <c r="N771" s="62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59"/>
      <c r="M772" s="62"/>
      <c r="N772" s="62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59"/>
      <c r="M773" s="62"/>
      <c r="N773" s="62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59"/>
      <c r="M774" s="62"/>
      <c r="N774" s="62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59"/>
      <c r="M775" s="62"/>
      <c r="N775" s="62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59"/>
      <c r="M776" s="62"/>
      <c r="N776" s="62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59"/>
      <c r="M777" s="62"/>
      <c r="N777" s="62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59"/>
      <c r="M778" s="62"/>
      <c r="N778" s="62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59"/>
      <c r="M779" s="62"/>
      <c r="N779" s="62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59"/>
      <c r="M780" s="62"/>
      <c r="N780" s="62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59"/>
      <c r="M781" s="62"/>
      <c r="N781" s="62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59"/>
      <c r="M782" s="62"/>
      <c r="N782" s="62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59"/>
      <c r="M783" s="62"/>
      <c r="N783" s="62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59"/>
      <c r="M784" s="62"/>
      <c r="N784" s="62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59"/>
      <c r="M785" s="62"/>
      <c r="N785" s="62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59"/>
      <c r="M786" s="62"/>
      <c r="N786" s="62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59"/>
      <c r="M787" s="62"/>
      <c r="N787" s="62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59"/>
      <c r="M788" s="62"/>
      <c r="N788" s="62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59"/>
      <c r="M789" s="62"/>
      <c r="N789" s="62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59"/>
      <c r="M790" s="62"/>
      <c r="N790" s="62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59"/>
      <c r="M791" s="62"/>
      <c r="N791" s="62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59"/>
      <c r="M792" s="62"/>
      <c r="N792" s="62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59"/>
      <c r="M793" s="62"/>
      <c r="N793" s="62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59"/>
      <c r="M794" s="62"/>
      <c r="N794" s="62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59"/>
      <c r="M795" s="62"/>
      <c r="N795" s="62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59"/>
      <c r="M796" s="62"/>
      <c r="N796" s="62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59"/>
      <c r="M797" s="62"/>
      <c r="N797" s="62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59"/>
      <c r="M798" s="62"/>
      <c r="N798" s="62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59"/>
      <c r="M799" s="62"/>
      <c r="N799" s="62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59"/>
      <c r="M800" s="62"/>
      <c r="N800" s="62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59"/>
      <c r="M801" s="62"/>
      <c r="N801" s="62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59"/>
      <c r="M802" s="62"/>
      <c r="N802" s="62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59"/>
      <c r="M803" s="62"/>
      <c r="N803" s="62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59"/>
      <c r="M804" s="62"/>
      <c r="N804" s="62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59"/>
      <c r="M805" s="62"/>
      <c r="N805" s="62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59"/>
      <c r="M806" s="62"/>
      <c r="N806" s="62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59"/>
      <c r="M807" s="62"/>
      <c r="N807" s="62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59"/>
      <c r="M808" s="62"/>
      <c r="N808" s="62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59"/>
      <c r="M809" s="62"/>
      <c r="N809" s="62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59"/>
      <c r="M810" s="62"/>
      <c r="N810" s="62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59"/>
      <c r="M811" s="62"/>
      <c r="N811" s="62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59"/>
      <c r="M812" s="62"/>
      <c r="N812" s="62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59"/>
      <c r="M813" s="62"/>
      <c r="N813" s="62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59"/>
      <c r="M814" s="62"/>
      <c r="N814" s="62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59"/>
      <c r="M815" s="62"/>
      <c r="N815" s="62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59"/>
      <c r="M816" s="62"/>
      <c r="N816" s="62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59"/>
      <c r="M817" s="62"/>
      <c r="N817" s="62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59"/>
      <c r="M818" s="62"/>
      <c r="N818" s="62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59"/>
      <c r="M819" s="62"/>
      <c r="N819" s="62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59"/>
      <c r="M820" s="62"/>
      <c r="N820" s="62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59"/>
      <c r="M821" s="62"/>
      <c r="N821" s="62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59"/>
      <c r="M822" s="62"/>
      <c r="N822" s="62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59"/>
      <c r="M823" s="62"/>
      <c r="N823" s="62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59"/>
      <c r="M824" s="62"/>
      <c r="N824" s="62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59"/>
      <c r="M825" s="62"/>
      <c r="N825" s="62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59"/>
      <c r="M826" s="62"/>
      <c r="N826" s="62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59"/>
      <c r="M827" s="62"/>
      <c r="N827" s="62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59"/>
      <c r="M828" s="62"/>
      <c r="N828" s="62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59"/>
      <c r="M829" s="62"/>
      <c r="N829" s="62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59"/>
      <c r="M830" s="62"/>
      <c r="N830" s="62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59"/>
      <c r="M831" s="62"/>
      <c r="N831" s="62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59"/>
      <c r="M832" s="62"/>
      <c r="N832" s="62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59"/>
      <c r="M833" s="62"/>
      <c r="N833" s="62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59"/>
      <c r="M834" s="62"/>
      <c r="N834" s="62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59"/>
      <c r="M835" s="62"/>
      <c r="N835" s="62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59"/>
      <c r="M836" s="62"/>
      <c r="N836" s="62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59"/>
      <c r="M837" s="62"/>
      <c r="N837" s="62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59"/>
      <c r="M838" s="62"/>
      <c r="N838" s="62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59"/>
      <c r="M839" s="62"/>
      <c r="N839" s="62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59"/>
      <c r="M840" s="62"/>
      <c r="N840" s="62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59"/>
      <c r="M841" s="62"/>
      <c r="N841" s="62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59"/>
      <c r="M842" s="62"/>
      <c r="N842" s="62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59"/>
      <c r="M843" s="62"/>
      <c r="N843" s="62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59"/>
      <c r="M844" s="62"/>
      <c r="N844" s="62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59"/>
      <c r="M845" s="62"/>
      <c r="N845" s="62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59"/>
      <c r="M846" s="62"/>
      <c r="N846" s="62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59"/>
      <c r="M847" s="62"/>
      <c r="N847" s="62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59"/>
      <c r="M848" s="62"/>
      <c r="N848" s="62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59"/>
      <c r="M849" s="62"/>
      <c r="N849" s="62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59"/>
      <c r="M850" s="62"/>
      <c r="N850" s="62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59"/>
      <c r="M851" s="62"/>
      <c r="N851" s="62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59"/>
      <c r="M852" s="62"/>
      <c r="N852" s="62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59"/>
      <c r="M853" s="62"/>
      <c r="N853" s="62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59"/>
      <c r="M854" s="62"/>
      <c r="N854" s="62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59"/>
      <c r="M855" s="62"/>
      <c r="N855" s="62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59"/>
      <c r="M856" s="62"/>
      <c r="N856" s="62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59"/>
      <c r="M857" s="62"/>
      <c r="N857" s="62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59"/>
      <c r="M858" s="62"/>
      <c r="N858" s="62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59"/>
      <c r="M859" s="62"/>
      <c r="N859" s="62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59"/>
      <c r="M860" s="62"/>
      <c r="N860" s="62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59"/>
      <c r="M861" s="62"/>
      <c r="N861" s="62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59"/>
      <c r="M862" s="62"/>
      <c r="N862" s="62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59"/>
      <c r="M863" s="62"/>
      <c r="N863" s="62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59"/>
      <c r="M864" s="62"/>
      <c r="N864" s="62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59"/>
      <c r="M865" s="62"/>
      <c r="N865" s="62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59"/>
      <c r="M866" s="62"/>
      <c r="N866" s="62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59"/>
      <c r="M867" s="62"/>
      <c r="N867" s="62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59"/>
      <c r="M868" s="62"/>
      <c r="N868" s="62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59"/>
      <c r="M869" s="62"/>
      <c r="N869" s="62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59"/>
      <c r="M870" s="62"/>
      <c r="N870" s="62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59"/>
      <c r="M871" s="62"/>
      <c r="N871" s="62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59"/>
      <c r="M872" s="62"/>
      <c r="N872" s="62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59"/>
      <c r="M873" s="62"/>
      <c r="N873" s="62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59"/>
      <c r="M874" s="62"/>
      <c r="N874" s="62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59"/>
      <c r="M875" s="62"/>
      <c r="N875" s="62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59"/>
      <c r="M876" s="62"/>
      <c r="N876" s="62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59"/>
      <c r="M877" s="62"/>
      <c r="N877" s="62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59"/>
      <c r="M878" s="62"/>
      <c r="N878" s="62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59"/>
      <c r="M879" s="62"/>
      <c r="N879" s="62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59"/>
      <c r="M880" s="62"/>
      <c r="N880" s="62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59"/>
      <c r="M881" s="62"/>
      <c r="N881" s="62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59"/>
      <c r="M882" s="62"/>
      <c r="N882" s="62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59"/>
      <c r="M883" s="62"/>
      <c r="N883" s="62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59"/>
      <c r="M884" s="62"/>
      <c r="N884" s="62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59"/>
      <c r="M885" s="62"/>
      <c r="N885" s="62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59"/>
      <c r="M886" s="62"/>
      <c r="N886" s="62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59"/>
      <c r="M887" s="62"/>
      <c r="N887" s="62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59"/>
      <c r="M888" s="62"/>
      <c r="N888" s="62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59"/>
      <c r="M889" s="62"/>
      <c r="N889" s="62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59"/>
      <c r="M890" s="62"/>
      <c r="N890" s="62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59"/>
      <c r="M891" s="62"/>
      <c r="N891" s="62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59"/>
      <c r="M892" s="62"/>
      <c r="N892" s="62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59"/>
      <c r="M893" s="62"/>
      <c r="N893" s="62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59"/>
      <c r="M894" s="62"/>
      <c r="N894" s="62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59"/>
      <c r="M895" s="62"/>
      <c r="N895" s="62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59"/>
      <c r="M896" s="62"/>
      <c r="N896" s="62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59"/>
      <c r="M897" s="62"/>
      <c r="N897" s="62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59"/>
      <c r="M898" s="62"/>
      <c r="N898" s="62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59"/>
      <c r="M899" s="62"/>
      <c r="N899" s="62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59"/>
      <c r="M900" s="62"/>
      <c r="N900" s="62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59"/>
      <c r="M901" s="62"/>
      <c r="N901" s="62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59"/>
      <c r="M902" s="62"/>
      <c r="N902" s="62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59"/>
      <c r="M903" s="62"/>
      <c r="N903" s="62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59"/>
      <c r="M904" s="62"/>
      <c r="N904" s="62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59"/>
      <c r="M905" s="62"/>
      <c r="N905" s="62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59"/>
      <c r="M906" s="62"/>
      <c r="N906" s="62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59"/>
      <c r="M907" s="62"/>
      <c r="N907" s="62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59"/>
      <c r="M908" s="62"/>
      <c r="N908" s="62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59"/>
      <c r="M909" s="62"/>
      <c r="N909" s="62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59"/>
      <c r="M910" s="62"/>
      <c r="N910" s="62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59"/>
      <c r="M911" s="62"/>
      <c r="N911" s="62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59"/>
      <c r="M912" s="62"/>
      <c r="N912" s="62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59"/>
      <c r="M913" s="62"/>
      <c r="N913" s="62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59"/>
      <c r="M914" s="62"/>
      <c r="N914" s="62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59"/>
      <c r="M915" s="62"/>
      <c r="N915" s="62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59"/>
      <c r="M916" s="62"/>
      <c r="N916" s="62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59"/>
      <c r="M917" s="62"/>
      <c r="N917" s="62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59"/>
      <c r="M918" s="62"/>
      <c r="N918" s="62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59"/>
      <c r="M919" s="62"/>
      <c r="N919" s="62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59"/>
      <c r="M920" s="62"/>
      <c r="N920" s="62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59"/>
      <c r="M921" s="62"/>
      <c r="N921" s="62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59"/>
      <c r="M922" s="62"/>
      <c r="N922" s="62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59"/>
      <c r="M923" s="62"/>
      <c r="N923" s="62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59"/>
      <c r="M924" s="62"/>
      <c r="N924" s="62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59"/>
      <c r="M925" s="62"/>
      <c r="N925" s="62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59"/>
      <c r="M926" s="62"/>
      <c r="N926" s="62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59"/>
      <c r="M927" s="62"/>
      <c r="N927" s="62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59"/>
      <c r="M928" s="62"/>
      <c r="N928" s="62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59"/>
      <c r="M929" s="62"/>
      <c r="N929" s="62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59"/>
      <c r="M930" s="62"/>
      <c r="N930" s="62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59"/>
      <c r="M931" s="62"/>
      <c r="N931" s="62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59"/>
      <c r="M932" s="62"/>
      <c r="N932" s="62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59"/>
      <c r="M933" s="62"/>
      <c r="N933" s="62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59"/>
      <c r="M934" s="62"/>
      <c r="N934" s="62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59"/>
      <c r="M935" s="62"/>
      <c r="N935" s="62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59"/>
      <c r="M936" s="62"/>
      <c r="N936" s="62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59"/>
      <c r="M937" s="62"/>
      <c r="N937" s="62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59"/>
      <c r="M938" s="62"/>
      <c r="N938" s="62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59"/>
      <c r="M939" s="62"/>
      <c r="N939" s="62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59"/>
      <c r="M940" s="62"/>
      <c r="N940" s="62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59"/>
      <c r="M941" s="62"/>
      <c r="N941" s="62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59"/>
      <c r="M942" s="62"/>
      <c r="N942" s="62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59"/>
      <c r="M943" s="62"/>
      <c r="N943" s="62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59"/>
      <c r="M944" s="62"/>
      <c r="N944" s="62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59"/>
      <c r="M945" s="62"/>
      <c r="N945" s="62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59"/>
      <c r="M946" s="62"/>
      <c r="N946" s="62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59"/>
      <c r="M947" s="62"/>
      <c r="N947" s="62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59"/>
      <c r="M948" s="62"/>
      <c r="N948" s="62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59"/>
      <c r="M949" s="62"/>
      <c r="N949" s="62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59"/>
      <c r="M950" s="62"/>
      <c r="N950" s="62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59"/>
      <c r="M951" s="62"/>
      <c r="N951" s="62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59"/>
      <c r="M952" s="62"/>
      <c r="N952" s="62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59"/>
      <c r="M953" s="62"/>
      <c r="N953" s="62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59"/>
      <c r="M954" s="62"/>
      <c r="N954" s="62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59"/>
      <c r="M955" s="62"/>
      <c r="N955" s="62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59"/>
      <c r="M956" s="62"/>
      <c r="N956" s="62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59"/>
      <c r="M957" s="62"/>
      <c r="N957" s="62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59"/>
      <c r="M958" s="62"/>
      <c r="N958" s="62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59"/>
      <c r="M959" s="62"/>
      <c r="N959" s="62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59"/>
      <c r="M960" s="62"/>
      <c r="N960" s="62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59"/>
      <c r="M961" s="62"/>
      <c r="N961" s="62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59"/>
      <c r="M962" s="62"/>
      <c r="N962" s="62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59"/>
      <c r="M963" s="62"/>
      <c r="N963" s="62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59"/>
      <c r="M964" s="62"/>
      <c r="N964" s="62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59"/>
      <c r="M965" s="62"/>
      <c r="N965" s="62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59"/>
      <c r="M966" s="62"/>
      <c r="N966" s="62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59"/>
      <c r="M967" s="62"/>
      <c r="N967" s="62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59"/>
      <c r="M968" s="62"/>
      <c r="N968" s="62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59"/>
      <c r="M969" s="62"/>
      <c r="N969" s="62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59"/>
      <c r="M970" s="62"/>
      <c r="N970" s="62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59"/>
      <c r="M971" s="62"/>
      <c r="N971" s="62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59"/>
      <c r="M972" s="62"/>
      <c r="N972" s="62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59"/>
      <c r="M973" s="62"/>
      <c r="N973" s="62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59"/>
      <c r="M974" s="62"/>
      <c r="N974" s="62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59"/>
      <c r="M975" s="62"/>
      <c r="N975" s="62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59"/>
      <c r="M976" s="62"/>
      <c r="N976" s="62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59"/>
      <c r="M977" s="62"/>
      <c r="N977" s="62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59"/>
      <c r="M978" s="62"/>
      <c r="N978" s="62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59"/>
      <c r="M979" s="62"/>
      <c r="N979" s="62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59"/>
      <c r="M980" s="62"/>
      <c r="N980" s="62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59"/>
      <c r="M981" s="62"/>
      <c r="N981" s="62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59"/>
      <c r="M982" s="62"/>
      <c r="N982" s="62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59"/>
      <c r="M983" s="62"/>
      <c r="N983" s="62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59"/>
      <c r="M984" s="62"/>
      <c r="N984" s="62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59"/>
      <c r="M985" s="62"/>
      <c r="N985" s="62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59"/>
      <c r="M986" s="62"/>
      <c r="N986" s="62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59"/>
      <c r="M987" s="62"/>
      <c r="N987" s="62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59"/>
      <c r="M988" s="62"/>
      <c r="N988" s="62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59"/>
      <c r="M989" s="62"/>
      <c r="N989" s="62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59"/>
      <c r="M990" s="62"/>
      <c r="N990" s="62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59"/>
      <c r="M991" s="62"/>
      <c r="N991" s="62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59"/>
      <c r="M992" s="62"/>
      <c r="N992" s="62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59"/>
      <c r="M993" s="62"/>
      <c r="N993" s="62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59"/>
      <c r="M994" s="62"/>
      <c r="N994" s="62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59"/>
      <c r="M995" s="62"/>
      <c r="N995" s="62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59"/>
      <c r="M996" s="62"/>
      <c r="N996" s="62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59"/>
      <c r="M997" s="62"/>
      <c r="N997" s="62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59"/>
      <c r="M998" s="62"/>
      <c r="N998" s="62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59"/>
      <c r="M999" s="62"/>
      <c r="N999" s="62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59"/>
      <c r="M1000" s="62"/>
      <c r="N1000" s="62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59"/>
      <c r="M1001" s="62"/>
      <c r="N1001" s="62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59"/>
      <c r="M1002" s="62"/>
      <c r="N1002" s="62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2" priority="1">
      <formula>LEN(TRIM(L4))&gt;0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hidden="1" customWidth="1"/>
    <col min="13" max="13" width="18.125" customWidth="1"/>
    <col min="14" max="14" width="16.75" customWidth="1"/>
    <col min="15" max="15" width="10.625" customWidth="1"/>
    <col min="16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1" t="s">
        <v>0</v>
      </c>
      <c r="B2" s="143" t="s">
        <v>1</v>
      </c>
      <c r="C2" s="144"/>
      <c r="D2" s="145"/>
      <c r="E2" s="143" t="s">
        <v>114</v>
      </c>
      <c r="F2" s="144"/>
      <c r="G2" s="145"/>
      <c r="H2" s="146" t="s">
        <v>115</v>
      </c>
      <c r="I2" s="144"/>
      <c r="J2" s="145"/>
      <c r="K2" s="147" t="s">
        <v>4</v>
      </c>
      <c r="L2" s="148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14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3" t="s">
        <v>9</v>
      </c>
      <c r="L4" s="42" t="s">
        <v>116</v>
      </c>
      <c r="M4" s="68" t="s">
        <v>117</v>
      </c>
      <c r="N4" s="43"/>
      <c r="O4" s="43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2000000000+282312603.74+2325834136.37+8387.5+1106000000</f>
        <v>5714155127.6099997</v>
      </c>
      <c r="J5" s="19">
        <f t="shared" si="2"/>
        <v>5714155127.6099997</v>
      </c>
      <c r="K5" s="60" t="s">
        <v>108</v>
      </c>
      <c r="L5" s="42" t="s">
        <v>116</v>
      </c>
      <c r="M5" s="68" t="s">
        <v>117</v>
      </c>
      <c r="N5" s="43"/>
      <c r="O5" s="43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 ht="57">
      <c r="A6" s="15" t="s">
        <v>12</v>
      </c>
      <c r="B6" s="21">
        <v>2375000000</v>
      </c>
      <c r="C6" s="22">
        <v>125000000</v>
      </c>
      <c r="D6" s="22">
        <f t="shared" si="0"/>
        <v>2500000000</v>
      </c>
      <c r="E6" s="45">
        <v>702718876.22000003</v>
      </c>
      <c r="F6" s="45" t="s">
        <v>88</v>
      </c>
      <c r="G6" s="45">
        <v>2500000000</v>
      </c>
      <c r="H6" s="45">
        <v>1249758696.1199999</v>
      </c>
      <c r="I6" s="45" t="s">
        <v>118</v>
      </c>
      <c r="J6" s="45">
        <f>3134177253.88</f>
        <v>3134177253.8800001</v>
      </c>
      <c r="K6" s="45" t="s">
        <v>90</v>
      </c>
      <c r="L6" s="42" t="s">
        <v>119</v>
      </c>
      <c r="M6" s="68" t="s">
        <v>120</v>
      </c>
      <c r="N6" s="43"/>
      <c r="O6" s="4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128.25">
      <c r="A7" s="20" t="s">
        <v>16</v>
      </c>
      <c r="B7" s="21">
        <v>1500000000</v>
      </c>
      <c r="C7" s="16">
        <v>0</v>
      </c>
      <c r="D7" s="17">
        <f t="shared" si="0"/>
        <v>1500000000</v>
      </c>
      <c r="E7" s="45">
        <v>766739875.00999999</v>
      </c>
      <c r="F7" s="45" t="s">
        <v>92</v>
      </c>
      <c r="G7" s="17">
        <v>1500000000</v>
      </c>
      <c r="H7" s="16">
        <v>1106145716.4300001</v>
      </c>
      <c r="I7" s="45" t="s">
        <v>121</v>
      </c>
      <c r="J7" s="17">
        <f>H7+774360635.86</f>
        <v>1880506352.29</v>
      </c>
      <c r="K7" s="28" t="s">
        <v>94</v>
      </c>
      <c r="L7" s="42" t="s">
        <v>119</v>
      </c>
      <c r="M7" s="68" t="s">
        <v>120</v>
      </c>
      <c r="N7" s="48" t="s">
        <v>55</v>
      </c>
      <c r="O7" s="43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85.5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42" t="s">
        <v>116</v>
      </c>
      <c r="M8" s="68" t="s">
        <v>117</v>
      </c>
      <c r="N8" s="43"/>
      <c r="O8" s="43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 ht="409.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f>(1417001073-170000000-400000000)+211773067.2+503338675.12</f>
        <v>1562112815.3200002</v>
      </c>
      <c r="J9" s="17">
        <f t="shared" si="4"/>
        <v>1695111742.3200002</v>
      </c>
      <c r="K9" s="61" t="s">
        <v>111</v>
      </c>
      <c r="L9" s="42" t="s">
        <v>122</v>
      </c>
      <c r="M9" s="68" t="s">
        <v>117</v>
      </c>
      <c r="N9" s="43"/>
      <c r="O9" s="43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 ht="71.25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2986121099.8299999</v>
      </c>
      <c r="J10" s="17">
        <f t="shared" si="4"/>
        <v>2986121099.8299999</v>
      </c>
      <c r="K10" s="28" t="s">
        <v>25</v>
      </c>
      <c r="L10" s="42" t="s">
        <v>123</v>
      </c>
      <c r="M10" s="68" t="s">
        <v>124</v>
      </c>
      <c r="N10" s="43"/>
      <c r="O10" s="43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3663719904.58+(5*518269874.82)</f>
        <v>6255069278.6800003</v>
      </c>
      <c r="J11" s="17">
        <f t="shared" si="4"/>
        <v>6255069278.6800003</v>
      </c>
      <c r="K11" s="28" t="s">
        <v>27</v>
      </c>
      <c r="L11" s="42" t="s">
        <v>123</v>
      </c>
      <c r="M11" s="68" t="s">
        <v>124</v>
      </c>
      <c r="N11" s="43"/>
      <c r="O11" s="43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</row>
    <row r="12" spans="1:29" ht="71.25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4553381205.96</v>
      </c>
      <c r="J12" s="17">
        <f t="shared" si="4"/>
        <v>4553381205.96</v>
      </c>
      <c r="K12" s="28" t="s">
        <v>29</v>
      </c>
      <c r="L12" s="42" t="s">
        <v>123</v>
      </c>
      <c r="M12" s="68" t="s">
        <v>124</v>
      </c>
      <c r="N12" s="43"/>
      <c r="O12" s="43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</row>
    <row r="13" spans="1:29" ht="42.7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169245571.70674801</v>
      </c>
      <c r="I13" s="16">
        <v>0</v>
      </c>
      <c r="J13" s="17">
        <f t="shared" si="4"/>
        <v>169245571.70674801</v>
      </c>
      <c r="K13" s="28" t="s">
        <v>112</v>
      </c>
      <c r="L13" s="42" t="s">
        <v>125</v>
      </c>
      <c r="M13" s="68" t="s">
        <v>117</v>
      </c>
      <c r="N13" s="43"/>
      <c r="O13" s="43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1:29" ht="71.25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16">
        <v>446501705.42000002</v>
      </c>
      <c r="J14" s="17">
        <f t="shared" si="4"/>
        <v>446501705.42000002</v>
      </c>
      <c r="K14" s="28" t="s">
        <v>29</v>
      </c>
      <c r="L14" s="42" t="s">
        <v>123</v>
      </c>
      <c r="M14" s="68" t="s">
        <v>124</v>
      </c>
      <c r="N14" s="43"/>
      <c r="O14" s="43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1:29" ht="14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28" t="s">
        <v>126</v>
      </c>
      <c r="L15" s="42" t="s">
        <v>116</v>
      </c>
      <c r="M15" s="68" t="s">
        <v>117</v>
      </c>
      <c r="N15" s="43"/>
      <c r="O15" s="4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</row>
    <row r="16" spans="1:29" ht="42.7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89061818.8843019+121128812.458365</f>
        <v>210190631.34266689</v>
      </c>
      <c r="I16" s="16"/>
      <c r="J16" s="17">
        <f t="shared" si="4"/>
        <v>210190631.34266689</v>
      </c>
      <c r="K16" s="28" t="s">
        <v>112</v>
      </c>
      <c r="L16" s="42" t="s">
        <v>116</v>
      </c>
      <c r="M16" s="68" t="s">
        <v>117</v>
      </c>
      <c r="N16" s="43"/>
      <c r="O16" s="43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1:29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7505117812.2299995</v>
      </c>
      <c r="F17" s="31">
        <f>SUM(F4:F16)+1797281123.78+733260124.99</f>
        <v>22407542321.77</v>
      </c>
      <c r="G17" s="31">
        <f t="shared" ref="G17:H17" si="6">SUM(G4:G16)</f>
        <v>29912660134</v>
      </c>
      <c r="H17" s="31">
        <f t="shared" si="6"/>
        <v>8468339542.5994148</v>
      </c>
      <c r="I17" s="31">
        <f>SUM(I4:I16)+1884418557.71+774360635.86</f>
        <v>27735438592.259995</v>
      </c>
      <c r="J17" s="31">
        <f>SUM(J4:J16)</f>
        <v>36203778134.909416</v>
      </c>
      <c r="K17" s="50"/>
      <c r="L17" s="42" t="s">
        <v>119</v>
      </c>
      <c r="M17" s="51"/>
      <c r="N17" s="51"/>
      <c r="O17" s="52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</row>
    <row r="18" spans="1:29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17"/>
      <c r="L18" s="53" t="s">
        <v>100</v>
      </c>
      <c r="M18" s="43"/>
      <c r="N18" s="43"/>
      <c r="O18" s="43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17"/>
      <c r="L19" s="53" t="s">
        <v>100</v>
      </c>
      <c r="M19" s="43"/>
      <c r="N19" s="43"/>
      <c r="O19" s="43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1:29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17"/>
      <c r="L20" s="53" t="s">
        <v>100</v>
      </c>
      <c r="M20" s="43"/>
      <c r="N20" s="43"/>
      <c r="O20" s="43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17"/>
      <c r="L21" s="53" t="s">
        <v>100</v>
      </c>
      <c r="M21" s="43"/>
      <c r="N21" s="43"/>
      <c r="O21" s="43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</row>
    <row r="22" spans="1:29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50"/>
      <c r="L22" s="53" t="s">
        <v>127</v>
      </c>
      <c r="M22" s="51"/>
      <c r="N22" s="51"/>
      <c r="O22" s="51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</row>
    <row r="23" spans="1:29" ht="15.75" customHeight="1">
      <c r="A23" s="54" t="s">
        <v>43</v>
      </c>
      <c r="B23" s="55">
        <f t="shared" ref="B23:J23" si="11">B17+B22</f>
        <v>17494715379</v>
      </c>
      <c r="C23" s="55">
        <f t="shared" si="11"/>
        <v>20195051950</v>
      </c>
      <c r="D23" s="55">
        <f t="shared" si="11"/>
        <v>37689767329</v>
      </c>
      <c r="E23" s="55">
        <f t="shared" si="11"/>
        <v>13672173057.23</v>
      </c>
      <c r="F23" s="55">
        <f t="shared" si="11"/>
        <v>24017594271.77</v>
      </c>
      <c r="G23" s="55">
        <f t="shared" si="11"/>
        <v>37689767329</v>
      </c>
      <c r="H23" s="55">
        <f t="shared" si="11"/>
        <v>14635394787.599415</v>
      </c>
      <c r="I23" s="55">
        <f t="shared" si="11"/>
        <v>29345490542.259995</v>
      </c>
      <c r="J23" s="55">
        <f t="shared" si="11"/>
        <v>43980885329.909416</v>
      </c>
      <c r="K23" s="17"/>
      <c r="L23" s="53" t="s">
        <v>127</v>
      </c>
      <c r="M23" s="43"/>
      <c r="N23" s="43"/>
      <c r="O23" s="43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58"/>
      <c r="M24" s="58"/>
      <c r="N24" s="58"/>
      <c r="O24" s="58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1:29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59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59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59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59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59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59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59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59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9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59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9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9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9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9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9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9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9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9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9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9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9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9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9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59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59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59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59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59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59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59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59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59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59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59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59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59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59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59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59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59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59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59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59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59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59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59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59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59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59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59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59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59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59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59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59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59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59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59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59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59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59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59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59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59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59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59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59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59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59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59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59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59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59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59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59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59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59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59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59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59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59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59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59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59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59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59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59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59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59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59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59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59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59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59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59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59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59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59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59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59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59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59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59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59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59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59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59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59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59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59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59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59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59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59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59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59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59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59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59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59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59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59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59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59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59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59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59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59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59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59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59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59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59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59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59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59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59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59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59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59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59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59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59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59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59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59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59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59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59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59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59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59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59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59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59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59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59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59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59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59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59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59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59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59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59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59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59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59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59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59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59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59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59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59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59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59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59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59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59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59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59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59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59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59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59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59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59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59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59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59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59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59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59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59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59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59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59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59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59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59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59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59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59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59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59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59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59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59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59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59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59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59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59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59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59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59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59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59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59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59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59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59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59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59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59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59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59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59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59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59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59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59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59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59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59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59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59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59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59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59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59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59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59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59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59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59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59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59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59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59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59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59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59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59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59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59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59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59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59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59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59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59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59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59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59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59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59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59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59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59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59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59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59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59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59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59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59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59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59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59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59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59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59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59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59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59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59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59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59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59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59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59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59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59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59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59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59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59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59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59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59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59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59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59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59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59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59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59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59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59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59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59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59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59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59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59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59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59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59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59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59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59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59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59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59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59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59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59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59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59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59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59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59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59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59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59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59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59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59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59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59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59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59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59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59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59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59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59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59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59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59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59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59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59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59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59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59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59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59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59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59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59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59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59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59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59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59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59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59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59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59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59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59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59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59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59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59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59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59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59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59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59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59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59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59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59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59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59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59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59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59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59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59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59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59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59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59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59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59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59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59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59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59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59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59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59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59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59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59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59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59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59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59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59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59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59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59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59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59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59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59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59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59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59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59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59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59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59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59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59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59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59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59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59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59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59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59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59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59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59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59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59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59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59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59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59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59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59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59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59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59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59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59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59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59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59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59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59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59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59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59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59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59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59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59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59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59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59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59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59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59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59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59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59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59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59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59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59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59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59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59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59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59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59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59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59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59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59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59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59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59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59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59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59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59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59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59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59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59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59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59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59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59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59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59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59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59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59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59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59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59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59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59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59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59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59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59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59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59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59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59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59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59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59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59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59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59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59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59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59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59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59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59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59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59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59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59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59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59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59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59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59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59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59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59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59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59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59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59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59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59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59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59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59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59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59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59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59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59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59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59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59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59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59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59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59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59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59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59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59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59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59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59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59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59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59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59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59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59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59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59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59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59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59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59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59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59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59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59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59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59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59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59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59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59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59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59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59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59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59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59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59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59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59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59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59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59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59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59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59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59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59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59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59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59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59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59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59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59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59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59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59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59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59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59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59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59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59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59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59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59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59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59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59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59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59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59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59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59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59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59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59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59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59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59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59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59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59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59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59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59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59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59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59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59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59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59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59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59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59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59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59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59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59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59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59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59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59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59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59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59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59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59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59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59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59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59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59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59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59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59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59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59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59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59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59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59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59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59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59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59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59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59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59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59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59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59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59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59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59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59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59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59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59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59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59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59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59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59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59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59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59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59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59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59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59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59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59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59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59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59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59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59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59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59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59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59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59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59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59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59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59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59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59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1" priority="1">
      <formula>LEN(TRIM(L4))&gt;0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8.25" customWidth="1"/>
    <col min="11" max="11" width="40.375" customWidth="1"/>
    <col min="12" max="12" width="23.5" hidden="1" customWidth="1"/>
    <col min="13" max="13" width="18.125" customWidth="1"/>
    <col min="14" max="14" width="16.75" customWidth="1"/>
    <col min="15" max="15" width="10.625" customWidth="1"/>
    <col min="16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1" t="s">
        <v>0</v>
      </c>
      <c r="B2" s="143" t="s">
        <v>1</v>
      </c>
      <c r="C2" s="144"/>
      <c r="D2" s="145"/>
      <c r="E2" s="143" t="s">
        <v>128</v>
      </c>
      <c r="F2" s="144"/>
      <c r="G2" s="145"/>
      <c r="H2" s="146" t="s">
        <v>129</v>
      </c>
      <c r="I2" s="144"/>
      <c r="J2" s="145"/>
      <c r="K2" s="147" t="s">
        <v>4</v>
      </c>
      <c r="L2" s="148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42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2"/>
      <c r="L3" s="14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8">
        <v>3000000000</v>
      </c>
      <c r="D4" s="8">
        <f t="shared" ref="D4:D16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3" t="s">
        <v>9</v>
      </c>
      <c r="L4" s="42" t="s">
        <v>116</v>
      </c>
      <c r="M4" s="43"/>
      <c r="N4" s="43"/>
      <c r="O4" s="43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>
      <c r="A5" s="15" t="s">
        <v>10</v>
      </c>
      <c r="B5" s="16">
        <v>0</v>
      </c>
      <c r="C5" s="17">
        <v>4400000000</v>
      </c>
      <c r="D5" s="17">
        <f t="shared" si="0"/>
        <v>4400000000</v>
      </c>
      <c r="E5" s="18">
        <v>0</v>
      </c>
      <c r="F5" s="19">
        <v>4400000000</v>
      </c>
      <c r="G5" s="19">
        <f t="shared" si="1"/>
        <v>4400000000</v>
      </c>
      <c r="H5" s="19">
        <v>0</v>
      </c>
      <c r="I5" s="19">
        <f>2000000000+282312603.74+2325834136.37+8387.5+1088000000</f>
        <v>5696155127.6099997</v>
      </c>
      <c r="J5" s="19">
        <f t="shared" si="2"/>
        <v>5696155127.6099997</v>
      </c>
      <c r="K5" s="60" t="s">
        <v>130</v>
      </c>
      <c r="L5" s="42" t="s">
        <v>116</v>
      </c>
      <c r="M5" s="43"/>
      <c r="N5" s="43"/>
      <c r="O5" s="43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 ht="14.25">
      <c r="A6" s="15" t="s">
        <v>12</v>
      </c>
      <c r="B6" s="21">
        <v>2375000000</v>
      </c>
      <c r="C6" s="22">
        <v>125000000</v>
      </c>
      <c r="D6" s="22">
        <f t="shared" si="0"/>
        <v>2500000000</v>
      </c>
      <c r="E6" s="45">
        <v>773186202.96000004</v>
      </c>
      <c r="F6" s="45" t="s">
        <v>131</v>
      </c>
      <c r="G6" s="45">
        <v>2500000000</v>
      </c>
      <c r="H6" s="45">
        <v>1314399106.6900001</v>
      </c>
      <c r="I6" s="45" t="s">
        <v>132</v>
      </c>
      <c r="J6" s="19">
        <f>1314399106.69+1806048179.08</f>
        <v>3120447285.77</v>
      </c>
      <c r="K6" s="45" t="s">
        <v>90</v>
      </c>
      <c r="L6" s="42" t="s">
        <v>119</v>
      </c>
      <c r="M6" s="43"/>
      <c r="N6" s="43"/>
      <c r="O6" s="4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128.25">
      <c r="A7" s="15" t="s">
        <v>16</v>
      </c>
      <c r="B7" s="21">
        <v>1500000000</v>
      </c>
      <c r="C7" s="16">
        <v>0</v>
      </c>
      <c r="D7" s="17">
        <f t="shared" si="0"/>
        <v>1500000000</v>
      </c>
      <c r="E7" s="45">
        <v>766739875.00999999</v>
      </c>
      <c r="F7" s="45" t="s">
        <v>92</v>
      </c>
      <c r="G7" s="17">
        <v>1500000000</v>
      </c>
      <c r="H7" s="16">
        <v>1101299996.45</v>
      </c>
      <c r="I7" s="45" t="s">
        <v>133</v>
      </c>
      <c r="J7" s="17">
        <f>H7+770968375.01</f>
        <v>1872268371.46</v>
      </c>
      <c r="K7" s="28" t="s">
        <v>94</v>
      </c>
      <c r="L7" s="42" t="s">
        <v>119</v>
      </c>
      <c r="M7" s="43"/>
      <c r="N7" s="43"/>
      <c r="O7" s="43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85.5">
      <c r="A8" s="20" t="s">
        <v>20</v>
      </c>
      <c r="B8" s="16">
        <v>5000000000</v>
      </c>
      <c r="C8" s="16">
        <v>0</v>
      </c>
      <c r="D8" s="17">
        <f t="shared" si="0"/>
        <v>5000000000</v>
      </c>
      <c r="E8" s="16">
        <v>5000000000</v>
      </c>
      <c r="F8" s="16">
        <v>0</v>
      </c>
      <c r="G8" s="17">
        <f t="shared" ref="G8:G16" si="3">SUM(E8:F8)</f>
        <v>5000000000</v>
      </c>
      <c r="H8" s="16">
        <v>5000000000</v>
      </c>
      <c r="I8" s="16">
        <v>0</v>
      </c>
      <c r="J8" s="17">
        <f t="shared" ref="J8:J16" si="4">SUM(H8:I8)</f>
        <v>5000000000</v>
      </c>
      <c r="K8" s="28" t="s">
        <v>21</v>
      </c>
      <c r="L8" s="42" t="s">
        <v>116</v>
      </c>
      <c r="M8" s="43"/>
      <c r="N8" s="43"/>
      <c r="O8" s="43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 ht="14.25">
      <c r="A9" s="20" t="s">
        <v>22</v>
      </c>
      <c r="B9" s="16">
        <v>1550000000</v>
      </c>
      <c r="C9" s="16">
        <v>0</v>
      </c>
      <c r="D9" s="17">
        <f t="shared" si="0"/>
        <v>1550000000</v>
      </c>
      <c r="E9" s="16">
        <f>1550000000-1417001073</f>
        <v>132998927</v>
      </c>
      <c r="F9" s="16">
        <v>1417001073</v>
      </c>
      <c r="G9" s="17">
        <f t="shared" si="3"/>
        <v>1550000000</v>
      </c>
      <c r="H9" s="16">
        <v>132998927</v>
      </c>
      <c r="I9" s="16">
        <f>211773067.2+1247001073</f>
        <v>1458774140.2</v>
      </c>
      <c r="J9" s="17">
        <f t="shared" si="4"/>
        <v>1591773067.2</v>
      </c>
      <c r="K9" s="28" t="s">
        <v>134</v>
      </c>
      <c r="L9" s="42" t="s">
        <v>122</v>
      </c>
      <c r="M9" s="43"/>
      <c r="N9" s="43"/>
      <c r="O9" s="43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 ht="71.25">
      <c r="A10" s="15" t="s">
        <v>24</v>
      </c>
      <c r="B10" s="16">
        <v>0</v>
      </c>
      <c r="C10" s="16">
        <v>2050000000</v>
      </c>
      <c r="D10" s="17">
        <f t="shared" si="0"/>
        <v>2050000000</v>
      </c>
      <c r="E10" s="16">
        <v>0</v>
      </c>
      <c r="F10" s="16">
        <v>2050000000</v>
      </c>
      <c r="G10" s="17">
        <f t="shared" si="3"/>
        <v>2050000000</v>
      </c>
      <c r="H10" s="16">
        <v>0</v>
      </c>
      <c r="I10" s="16">
        <v>2961903618.8800001</v>
      </c>
      <c r="J10" s="17">
        <f t="shared" si="4"/>
        <v>2961903618.8800001</v>
      </c>
      <c r="K10" s="28" t="s">
        <v>25</v>
      </c>
      <c r="L10" s="42" t="s">
        <v>123</v>
      </c>
      <c r="M10" s="43"/>
      <c r="N10" s="43"/>
      <c r="O10" s="43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 ht="143.25" customHeight="1">
      <c r="A11" s="15" t="s">
        <v>26</v>
      </c>
      <c r="B11" s="16">
        <v>0</v>
      </c>
      <c r="C11" s="16">
        <v>4950000000</v>
      </c>
      <c r="D11" s="17">
        <f t="shared" si="0"/>
        <v>4950000000</v>
      </c>
      <c r="E11" s="16">
        <v>0</v>
      </c>
      <c r="F11" s="16">
        <v>4950000000</v>
      </c>
      <c r="G11" s="17">
        <f t="shared" si="3"/>
        <v>4950000000</v>
      </c>
      <c r="H11" s="16">
        <v>0</v>
      </c>
      <c r="I11" s="16">
        <f>3644277537+(5*518269874.82)</f>
        <v>6235626911.1000004</v>
      </c>
      <c r="J11" s="17">
        <f t="shared" si="4"/>
        <v>6235626911.1000004</v>
      </c>
      <c r="K11" s="28" t="s">
        <v>27</v>
      </c>
      <c r="L11" s="42" t="s">
        <v>123</v>
      </c>
      <c r="M11" s="43"/>
      <c r="N11" s="43"/>
      <c r="O11" s="43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</row>
    <row r="12" spans="1:29" ht="71.25">
      <c r="A12" s="15" t="s">
        <v>28</v>
      </c>
      <c r="B12" s="16">
        <v>0</v>
      </c>
      <c r="C12" s="16">
        <v>3650000000</v>
      </c>
      <c r="D12" s="17">
        <f t="shared" si="0"/>
        <v>3650000000</v>
      </c>
      <c r="E12" s="16">
        <v>0</v>
      </c>
      <c r="F12" s="16">
        <v>3650000000</v>
      </c>
      <c r="G12" s="17">
        <f t="shared" si="3"/>
        <v>3650000000</v>
      </c>
      <c r="H12" s="16">
        <v>0</v>
      </c>
      <c r="I12" s="16">
        <v>4536303526.79</v>
      </c>
      <c r="J12" s="17">
        <f t="shared" si="4"/>
        <v>4536303526.79</v>
      </c>
      <c r="K12" s="28" t="s">
        <v>29</v>
      </c>
      <c r="L12" s="42" t="s">
        <v>123</v>
      </c>
      <c r="M12" s="43"/>
      <c r="N12" s="43"/>
      <c r="O12" s="43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</row>
    <row r="13" spans="1:29" ht="42.75">
      <c r="A13" s="15" t="s">
        <v>30</v>
      </c>
      <c r="B13" s="17">
        <v>135000000</v>
      </c>
      <c r="C13" s="16">
        <v>0</v>
      </c>
      <c r="D13" s="17">
        <f t="shared" si="0"/>
        <v>135000000</v>
      </c>
      <c r="E13" s="16">
        <v>135000000</v>
      </c>
      <c r="F13" s="16">
        <v>0</v>
      </c>
      <c r="G13" s="17">
        <f t="shared" si="3"/>
        <v>135000000</v>
      </c>
      <c r="H13" s="16">
        <v>168504153.43000001</v>
      </c>
      <c r="I13" s="16">
        <v>0</v>
      </c>
      <c r="J13" s="17">
        <f t="shared" si="4"/>
        <v>168504153.43000001</v>
      </c>
      <c r="K13" s="28" t="s">
        <v>135</v>
      </c>
      <c r="L13" s="42" t="s">
        <v>125</v>
      </c>
      <c r="M13" s="43"/>
      <c r="N13" s="43"/>
      <c r="O13" s="43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1:29" ht="71.25">
      <c r="A14" s="15" t="s">
        <v>32</v>
      </c>
      <c r="B14" s="16">
        <v>0</v>
      </c>
      <c r="C14" s="16">
        <v>310000000</v>
      </c>
      <c r="D14" s="17">
        <f t="shared" si="0"/>
        <v>310000000</v>
      </c>
      <c r="E14" s="16">
        <v>0</v>
      </c>
      <c r="F14" s="16">
        <v>310000000</v>
      </c>
      <c r="G14" s="17">
        <f t="shared" si="3"/>
        <v>310000000</v>
      </c>
      <c r="H14" s="16">
        <v>0</v>
      </c>
      <c r="I14" s="16">
        <v>443278220.94</v>
      </c>
      <c r="J14" s="17">
        <f t="shared" si="4"/>
        <v>443278220.94</v>
      </c>
      <c r="K14" s="28" t="s">
        <v>29</v>
      </c>
      <c r="L14" s="42" t="s">
        <v>123</v>
      </c>
      <c r="M14" s="43"/>
      <c r="N14" s="43"/>
      <c r="O14" s="43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1:29" ht="14.25">
      <c r="A15" s="20" t="s">
        <v>33</v>
      </c>
      <c r="B15" s="16">
        <v>600000000</v>
      </c>
      <c r="C15" s="16">
        <v>100000000</v>
      </c>
      <c r="D15" s="17">
        <f t="shared" si="0"/>
        <v>700000000</v>
      </c>
      <c r="E15" s="16">
        <v>600000000</v>
      </c>
      <c r="F15" s="16">
        <v>100000000</v>
      </c>
      <c r="G15" s="17">
        <f t="shared" si="3"/>
        <v>700000000</v>
      </c>
      <c r="H15" s="16">
        <v>600000000</v>
      </c>
      <c r="I15" s="16">
        <v>100000000</v>
      </c>
      <c r="J15" s="17">
        <f t="shared" si="4"/>
        <v>700000000</v>
      </c>
      <c r="K15" s="28" t="s">
        <v>136</v>
      </c>
      <c r="L15" s="42" t="s">
        <v>116</v>
      </c>
      <c r="M15" s="43"/>
      <c r="N15" s="43"/>
      <c r="O15" s="4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</row>
    <row r="16" spans="1:29" ht="42.75">
      <c r="A16" s="15" t="s">
        <v>35</v>
      </c>
      <c r="B16" s="17">
        <f>71040828+96619306</f>
        <v>167660134</v>
      </c>
      <c r="C16" s="16">
        <v>0</v>
      </c>
      <c r="D16" s="17">
        <f t="shared" si="0"/>
        <v>167660134</v>
      </c>
      <c r="E16" s="17">
        <f>71040828+96619306</f>
        <v>167660134</v>
      </c>
      <c r="F16" s="16">
        <v>0</v>
      </c>
      <c r="G16" s="17">
        <f t="shared" si="3"/>
        <v>167660134</v>
      </c>
      <c r="H16" s="17">
        <f>88671663.56+120598180.46</f>
        <v>209269844.01999998</v>
      </c>
      <c r="I16" s="16"/>
      <c r="J16" s="17">
        <f t="shared" si="4"/>
        <v>209269844.01999998</v>
      </c>
      <c r="K16" s="28" t="s">
        <v>135</v>
      </c>
      <c r="L16" s="42" t="s">
        <v>116</v>
      </c>
      <c r="M16" s="43"/>
      <c r="N16" s="43"/>
      <c r="O16" s="43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1:29" ht="15.75" customHeight="1">
      <c r="A17" s="30" t="s">
        <v>37</v>
      </c>
      <c r="B17" s="31">
        <f t="shared" ref="B17:E17" si="5">SUM(B4:B16)</f>
        <v>11327660134</v>
      </c>
      <c r="C17" s="31">
        <f t="shared" si="5"/>
        <v>18585000000</v>
      </c>
      <c r="D17" s="31">
        <f t="shared" si="5"/>
        <v>29912660134</v>
      </c>
      <c r="E17" s="31">
        <f t="shared" si="5"/>
        <v>7575585138.9700003</v>
      </c>
      <c r="F17" s="31">
        <f>SUM(F4:F16)+1726813797.04+733260124.99</f>
        <v>22337074995.030003</v>
      </c>
      <c r="G17" s="31">
        <f t="shared" ref="G17:H17" si="6">SUM(G4:G16)</f>
        <v>29912660134</v>
      </c>
      <c r="H17" s="31">
        <f t="shared" si="6"/>
        <v>8526472027.5900002</v>
      </c>
      <c r="I17" s="31">
        <f>SUM(I4:I16)+1806048179.08+770968375.01</f>
        <v>27468376265.48</v>
      </c>
      <c r="J17" s="31">
        <f>SUM(J4:J16)</f>
        <v>35994848293.07</v>
      </c>
      <c r="K17" s="50"/>
      <c r="L17" s="42" t="s">
        <v>119</v>
      </c>
      <c r="M17" s="51"/>
      <c r="N17" s="51"/>
      <c r="O17" s="52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</row>
    <row r="18" spans="1:29" ht="14.25">
      <c r="A18" s="15" t="s">
        <v>38</v>
      </c>
      <c r="B18" s="16">
        <v>0</v>
      </c>
      <c r="C18" s="16">
        <v>1500000000</v>
      </c>
      <c r="D18" s="17">
        <f t="shared" ref="D18:D21" si="7">SUM(B18:C18)</f>
        <v>1500000000</v>
      </c>
      <c r="E18" s="16">
        <v>0</v>
      </c>
      <c r="F18" s="16">
        <v>1500000000</v>
      </c>
      <c r="G18" s="17">
        <f t="shared" ref="G18:G21" si="8">SUM(E18:F18)</f>
        <v>1500000000</v>
      </c>
      <c r="H18" s="16">
        <v>0</v>
      </c>
      <c r="I18" s="16">
        <v>1500000000</v>
      </c>
      <c r="J18" s="17">
        <f t="shared" ref="J18:J21" si="9">SUM(H18:I18)</f>
        <v>1500000000</v>
      </c>
      <c r="K18" s="17"/>
      <c r="L18" s="53" t="s">
        <v>100</v>
      </c>
      <c r="M18" s="43"/>
      <c r="N18" s="43"/>
      <c r="O18" s="43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14.25">
      <c r="A19" s="15" t="s">
        <v>39</v>
      </c>
      <c r="B19" s="17">
        <v>4392583672</v>
      </c>
      <c r="C19" s="16">
        <v>0</v>
      </c>
      <c r="D19" s="17">
        <f t="shared" si="7"/>
        <v>4392583672</v>
      </c>
      <c r="E19" s="16">
        <v>4392583672</v>
      </c>
      <c r="F19" s="16">
        <v>0</v>
      </c>
      <c r="G19" s="17">
        <f t="shared" si="8"/>
        <v>4392583672</v>
      </c>
      <c r="H19" s="16">
        <v>4392583672</v>
      </c>
      <c r="I19" s="16">
        <v>0</v>
      </c>
      <c r="J19" s="17">
        <f t="shared" si="9"/>
        <v>4392583672</v>
      </c>
      <c r="K19" s="17"/>
      <c r="L19" s="53" t="s">
        <v>100</v>
      </c>
      <c r="M19" s="43"/>
      <c r="N19" s="43"/>
      <c r="O19" s="43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1:29" ht="14.25">
      <c r="A20" s="15" t="s">
        <v>40</v>
      </c>
      <c r="B20" s="17">
        <v>1774471573</v>
      </c>
      <c r="C20" s="16">
        <v>0</v>
      </c>
      <c r="D20" s="17">
        <f t="shared" si="7"/>
        <v>1774471573</v>
      </c>
      <c r="E20" s="16">
        <v>1774471573</v>
      </c>
      <c r="F20" s="16">
        <v>0</v>
      </c>
      <c r="G20" s="17">
        <f t="shared" si="8"/>
        <v>1774471573</v>
      </c>
      <c r="H20" s="16">
        <v>1774471573</v>
      </c>
      <c r="I20" s="16">
        <v>0</v>
      </c>
      <c r="J20" s="17">
        <f t="shared" si="9"/>
        <v>1774471573</v>
      </c>
      <c r="K20" s="17"/>
      <c r="L20" s="53" t="s">
        <v>100</v>
      </c>
      <c r="M20" s="43"/>
      <c r="N20" s="43"/>
      <c r="O20" s="43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ht="14.25">
      <c r="A21" s="15" t="s">
        <v>41</v>
      </c>
      <c r="B21" s="16">
        <v>0</v>
      </c>
      <c r="C21" s="17">
        <v>110051950</v>
      </c>
      <c r="D21" s="17">
        <f t="shared" si="7"/>
        <v>110051950</v>
      </c>
      <c r="E21" s="16">
        <v>0</v>
      </c>
      <c r="F21" s="16">
        <v>110051950</v>
      </c>
      <c r="G21" s="17">
        <f t="shared" si="8"/>
        <v>110051950</v>
      </c>
      <c r="H21" s="16">
        <v>0</v>
      </c>
      <c r="I21" s="16">
        <v>110051950</v>
      </c>
      <c r="J21" s="17">
        <f t="shared" si="9"/>
        <v>110051950</v>
      </c>
      <c r="K21" s="17"/>
      <c r="L21" s="53" t="s">
        <v>100</v>
      </c>
      <c r="M21" s="43"/>
      <c r="N21" s="43"/>
      <c r="O21" s="43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</row>
    <row r="22" spans="1:29" ht="15.75" customHeight="1">
      <c r="A22" s="30" t="s">
        <v>42</v>
      </c>
      <c r="B22" s="31">
        <f t="shared" ref="B22:J22" si="10">SUM(B18:B21)</f>
        <v>6167055245</v>
      </c>
      <c r="C22" s="31">
        <f t="shared" si="10"/>
        <v>1610051950</v>
      </c>
      <c r="D22" s="31">
        <f t="shared" si="10"/>
        <v>7777107195</v>
      </c>
      <c r="E22" s="31">
        <f t="shared" si="10"/>
        <v>6167055245</v>
      </c>
      <c r="F22" s="31">
        <f t="shared" si="10"/>
        <v>1610051950</v>
      </c>
      <c r="G22" s="31">
        <f t="shared" si="10"/>
        <v>7777107195</v>
      </c>
      <c r="H22" s="31">
        <f t="shared" si="10"/>
        <v>6167055245</v>
      </c>
      <c r="I22" s="31">
        <f t="shared" si="10"/>
        <v>1610051950</v>
      </c>
      <c r="J22" s="31">
        <f t="shared" si="10"/>
        <v>7777107195</v>
      </c>
      <c r="K22" s="50"/>
      <c r="L22" s="53" t="s">
        <v>127</v>
      </c>
      <c r="M22" s="51"/>
      <c r="N22" s="51"/>
      <c r="O22" s="51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</row>
    <row r="23" spans="1:29" ht="15.75" customHeight="1">
      <c r="A23" s="54" t="s">
        <v>43</v>
      </c>
      <c r="B23" s="55">
        <f t="shared" ref="B23:J23" si="11">B17+B22</f>
        <v>17494715379</v>
      </c>
      <c r="C23" s="55">
        <f t="shared" si="11"/>
        <v>20195051950</v>
      </c>
      <c r="D23" s="55">
        <f t="shared" si="11"/>
        <v>37689767329</v>
      </c>
      <c r="E23" s="55">
        <f t="shared" si="11"/>
        <v>13742640383.970001</v>
      </c>
      <c r="F23" s="55">
        <f t="shared" si="11"/>
        <v>23947126945.030003</v>
      </c>
      <c r="G23" s="55">
        <f t="shared" si="11"/>
        <v>37689767329</v>
      </c>
      <c r="H23" s="55">
        <f t="shared" si="11"/>
        <v>14693527272.59</v>
      </c>
      <c r="I23" s="55">
        <f t="shared" si="11"/>
        <v>29078428215.48</v>
      </c>
      <c r="J23" s="55">
        <f t="shared" si="11"/>
        <v>43771955488.07</v>
      </c>
      <c r="K23" s="17"/>
      <c r="L23" s="53" t="s">
        <v>127</v>
      </c>
      <c r="M23" s="43"/>
      <c r="N23" s="43"/>
      <c r="O23" s="43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58"/>
      <c r="M24" s="58"/>
      <c r="N24" s="58"/>
      <c r="O24" s="58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1:29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2"/>
      <c r="L25" s="59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ht="15.75" customHeight="1">
      <c r="A26" s="39"/>
      <c r="B26" s="39"/>
      <c r="C26" s="39"/>
      <c r="D26" s="39"/>
      <c r="E26" s="39"/>
      <c r="F26" s="40"/>
      <c r="G26" s="39"/>
      <c r="H26" s="39"/>
      <c r="I26" s="40"/>
      <c r="J26" s="39"/>
      <c r="K26" s="2"/>
      <c r="L26" s="59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59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59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59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59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59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59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9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59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9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9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9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9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9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9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9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9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9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9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9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9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9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59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59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59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59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59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59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59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59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59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59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59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59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59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59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59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59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59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59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59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59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59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59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59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59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59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59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59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59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59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59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59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59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59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59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59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59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59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59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59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59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59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59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59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59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59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59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59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59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59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59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59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59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59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59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59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59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59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59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59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59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59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59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59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59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59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59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59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59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59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59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59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59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59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59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59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59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59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59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59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59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59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59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59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59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59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59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59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59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59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59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59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59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59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59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59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59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59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59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59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59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59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59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59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59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59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59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59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59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59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59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59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59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59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59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59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59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59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59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59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59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59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59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59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59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59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59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59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59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59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59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59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59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59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59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59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59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59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59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59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59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59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59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59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59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59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59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59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59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59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59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59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59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59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59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59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59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59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59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59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59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59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59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59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59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59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59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59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59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59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59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59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59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59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59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59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59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59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59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59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59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59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59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59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59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59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59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59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59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59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59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59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59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59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59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59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59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59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59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59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59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59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59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59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59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59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59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59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59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59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59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59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59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59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59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59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59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59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59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59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59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59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59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59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59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59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59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59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59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59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59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59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59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59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59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59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59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59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59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59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59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59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59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59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59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59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59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59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59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59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59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59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59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59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59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59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59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59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59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59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59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59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59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59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59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59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59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59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59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59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59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59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59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59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59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59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59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59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59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59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59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59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59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59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59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59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59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59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59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59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59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59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59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59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59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59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59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59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59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59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59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59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59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59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59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59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59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59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59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59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59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59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59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59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59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59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59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59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59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59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59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59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59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59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59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59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59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59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59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59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59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59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59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59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59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59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59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59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59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59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59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59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59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59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59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59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59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59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59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59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59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59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59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59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59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59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59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59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59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59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59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59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59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59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59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59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59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59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59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59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59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59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59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59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59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59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59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59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59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59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59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59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59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59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59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59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59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59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59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59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59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59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59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59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59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59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59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59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59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59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59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59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59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59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59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59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59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59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59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59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59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59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59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59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59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59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59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59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59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59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59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59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59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59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59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59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59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59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59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59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59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59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59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59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59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59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59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59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59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59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59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59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59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59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59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59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59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59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59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59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59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59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59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59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59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59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59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59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59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59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59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59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59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59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59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59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59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59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59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59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59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59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59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59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59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59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59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59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59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59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59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59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59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59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59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59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59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59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59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59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59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59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59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59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59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59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59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59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59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59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59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59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59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59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59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59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59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59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59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59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59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59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59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59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59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59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59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59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59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59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59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59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59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59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59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59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59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59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59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59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59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59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59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59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59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59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59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59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59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59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59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59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59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59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59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59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59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59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59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59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59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59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59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59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59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59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59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59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59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59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59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59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59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59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59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59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59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59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59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59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59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59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59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59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59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59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59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59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59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59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59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59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59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59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59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59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59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59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59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59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59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59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59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59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59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59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59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59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59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59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59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59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59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59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59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59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59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59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59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59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59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59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59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59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59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59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59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59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59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59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59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59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59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59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59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59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59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59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59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59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59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59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59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59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59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59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59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59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59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59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59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59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59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59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59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59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59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59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59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59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59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59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59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59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59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59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59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59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59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59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59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59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59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59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59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59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59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59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59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59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59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59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59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59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59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59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59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59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59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59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59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59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59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59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59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59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59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59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59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59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59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59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59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59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59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59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59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59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59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59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59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59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59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59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59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59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59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59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59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59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59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59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0" priority="1">
      <formula>LEN(TRIM(L4))&gt;0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310525</vt:lpstr>
      <vt:lpstr>300425</vt:lpstr>
      <vt:lpstr>310325</vt:lpstr>
      <vt:lpstr>280225</vt:lpstr>
      <vt:lpstr>310125</vt:lpstr>
      <vt:lpstr>311224</vt:lpstr>
      <vt:lpstr>301124</vt:lpstr>
      <vt:lpstr>311024</vt:lpstr>
      <vt:lpstr>300924</vt:lpstr>
      <vt:lpstr>310824</vt:lpstr>
      <vt:lpstr>310724</vt:lpstr>
      <vt:lpstr>300624</vt:lpstr>
      <vt:lpstr>310524</vt:lpstr>
      <vt:lpstr>310324</vt:lpstr>
      <vt:lpstr>continhas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Rodrigues</dc:creator>
  <cp:lastModifiedBy>Maria Christina da Fonseca Matos</cp:lastModifiedBy>
  <dcterms:created xsi:type="dcterms:W3CDTF">2024-04-10T14:12:07Z</dcterms:created>
  <dcterms:modified xsi:type="dcterms:W3CDTF">2025-06-03T12:11:55Z</dcterms:modified>
</cp:coreProperties>
</file>