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11224" sheetId="1" r:id="rId4"/>
    <sheet state="hidden" name="301124" sheetId="2" r:id="rId5"/>
    <sheet state="hidden" name="311024" sheetId="3" r:id="rId6"/>
    <sheet state="hidden" name="300924" sheetId="4" r:id="rId7"/>
    <sheet state="hidden" name="310824" sheetId="5" r:id="rId8"/>
    <sheet state="hidden" name="310724" sheetId="6" r:id="rId9"/>
    <sheet state="hidden" name="300624" sheetId="7" r:id="rId10"/>
    <sheet state="hidden" name="310524" sheetId="8" r:id="rId11"/>
    <sheet state="hidden" name="310324" sheetId="9" r:id="rId12"/>
    <sheet state="hidden" name="continhas" sheetId="10" r:id="rId13"/>
  </sheets>
  <definedNames/>
  <calcPr/>
  <extLst>
    <ext uri="GoogleSheetsCustomDataVersion2">
      <go:sheetsCustomData xmlns:go="http://customooxmlschemas.google.com/" r:id="rId14" roundtripDataChecksum="UC7dgO9nNepUNO02fp0xKuTCE22mZhWxK4sw7XUA8v8="/>
    </ext>
  </extLst>
</workbook>
</file>

<file path=xl/sharedStrings.xml><?xml version="1.0" encoding="utf-8"?>
<sst xmlns="http://schemas.openxmlformats.org/spreadsheetml/2006/main" count="561" uniqueCount="130">
  <si>
    <t>Anexo do Acordo de Reparação</t>
  </si>
  <si>
    <t>Valor original do Acordo Judicial</t>
  </si>
  <si>
    <t>Valor Nominal após decisões judiciais - Até 31/12/24</t>
  </si>
  <si>
    <t>Valor Atualizado com rendimentos e correções monetárias após decisões judiciais - Até 31/12/24</t>
  </si>
  <si>
    <t>Observações</t>
  </si>
  <si>
    <t>Obrigação de fazer</t>
  </si>
  <si>
    <t>Obrigação de pagar</t>
  </si>
  <si>
    <t>Total</t>
  </si>
  <si>
    <t>I.1 - Projetos das Comunidades Atingidas</t>
  </si>
  <si>
    <t>*Executado e monitorado pelas Instituições de Justiça, sem ingresso nos cofres do Poder Executivo Estadual.
*Valor atualizado considera cálculos realizados pela Vale no respectivo processo judicial; valor total sujeito a rendimentos em contas judiciais ainda não informados; todo o valor sujeito a Auditoria Financeira a ser realizada.</t>
  </si>
  <si>
    <t>I.2 - Programa de Transferência de Renda</t>
  </si>
  <si>
    <r>
      <rPr>
        <rFont val="Arial"/>
        <color theme="1"/>
        <sz val="11.0"/>
      </rPr>
      <t xml:space="preserve"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</t>
    </r>
    <r>
      <rPr>
        <rFont val="Arial"/>
        <color rgb="FF1155CC"/>
        <sz val="11.0"/>
        <u/>
      </rPr>
      <t>site da FGV-PTR</t>
    </r>
    <r>
      <rPr>
        <rFont val="Arial"/>
        <color theme="1"/>
        <sz val="11.0"/>
      </rPr>
      <t xml:space="preserve"> em 02/01/25.</t>
    </r>
  </si>
  <si>
    <t>I.3 - Projetos para a Bacia do Paraopeba</t>
  </si>
  <si>
    <t>1.797.281.123,78, sendo: 1.560.984.486,79 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</si>
  <si>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1.901.965.533,67, sendo: 
1.644.708.206,91 - Projetos de reparação socioeconômica para a Bacia do Paraopeba - Execução pelos municípios
257.257.326,76  - Projetos rodoviários regionais - Execução pelo Estado de Minas Gerais diretamente ou  por meio de convênio com os municípios
</t>
  </si>
  <si>
    <r>
      <rPr>
        <rFont val="Arial"/>
        <color theme="1"/>
        <sz val="11.0"/>
      </rPr>
      <t xml:space="preserve">*Para mais detalhes sobre as decisões judiciais que autorizaram a conversão e os respectivos projetos </t>
    </r>
    <r>
      <rPr>
        <rFont val="Arial"/>
        <color rgb="FF1155CC"/>
        <sz val="11.0"/>
        <u/>
      </rPr>
      <t>clique aqui</t>
    </r>
    <r>
      <rPr>
        <rFont val="Arial"/>
        <color theme="1"/>
        <sz val="11.0"/>
      </rPr>
      <t xml:space="preserve">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</t>
    </r>
    <r>
      <rPr>
        <rFont val="Arial"/>
        <color rgb="FF1155CC"/>
        <sz val="11.0"/>
        <u/>
      </rPr>
      <t>informado aqui</t>
    </r>
    <r>
      <rPr>
        <rFont val="Arial"/>
        <color theme="1"/>
        <sz val="11.0"/>
      </rPr>
      <t>.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</si>
  <si>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I.4 - Projetos para Brumadinho</t>
  </si>
  <si>
    <t xml:space="preserve">733.260.124,99 Projetos de reparação socioeconômica para Brumadinho - Execução pelo município
</t>
  </si>
  <si>
    <t xml:space="preserve">
781.733.973,94 - Projetos de reparação socioeconômica para Brumadinho - Execução pelo município
</t>
  </si>
  <si>
    <r>
      <rPr>
        <rFont val="Arial"/>
        <color theme="1"/>
        <sz val="11.0"/>
      </rPr>
      <t xml:space="preserve">*Para mais detalhes sobre as decisões judiciais que autorizaram a conversão e os respectivos projetos </t>
    </r>
    <r>
      <rPr>
        <rFont val="Arial"/>
        <color rgb="FF1155CC"/>
        <sz val="11.0"/>
        <u/>
      </rPr>
      <t>clique aqui</t>
    </r>
    <r>
      <rPr>
        <rFont val="Arial"/>
        <color theme="1"/>
        <sz val="11.0"/>
      </rPr>
      <t>.
*Obrigação de pagar - Projetos de reparação socioeconômica para Brumadinho: o "Valor Nominal após decisões judiciais" considera o valor nominal dos projetos convertidos a partir do parecer emitido pela FGV e pagos pela Vale em juízo.
*Obrigação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</si>
  <si>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II.1 - Recuperação socioambiental*</t>
  </si>
  <si>
    <t>*Valor estimado, mas não representa teto, cabendo à Vale a realização de ações e gastos que garantam a recuperação do meio ambiente verificada por meio do alcance de indicadores de qualidade ambiental iguais ou melhores que os anteriores ao Rompimento.</t>
  </si>
  <si>
    <t>II.2 - Compensação socioambiental*</t>
  </si>
  <si>
    <r>
      <rPr>
        <rFont val="Arial"/>
        <color theme="1"/>
        <sz val="11.0"/>
      </rPr>
      <t xml:space="preserve">*Foi homologado judicialmente pedido dos Compromitentes, em comum acordo com a Vale, de conversão de obrigação de fazer em pagar, no valor nominal de R$1,417 bilhão, referente ao projeto "Saneamento Básico na Bacia do Paraopeba". Para acesso à decisão judicial, clique aqui.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somada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</t>
    </r>
    <r>
      <rPr>
        <rFont val="Arial"/>
        <color rgb="FF1155CC"/>
        <sz val="11.0"/>
        <u/>
      </rPr>
      <t>clique aqui</t>
    </r>
    <r>
      <rPr>
        <rFont val="Arial"/>
        <color theme="1"/>
        <sz val="11.0"/>
      </rPr>
      <t>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  </r>
  </si>
  <si>
    <t>II.3 - Segurança Hídrica</t>
  </si>
  <si>
    <t>*Considera o valor com correção monetária e rendimentos judiciais pago ao Estado de Minas Gerias (sujeito a Auditoria Financeira a ser realizada) somado ao rendimento de aplicações financeiras estaduais.</t>
  </si>
  <si>
    <t>III - Mobilidade</t>
  </si>
  <si>
    <t>*Considera o valor com correção monetária e rendimentos judiciais pago ao Estado de Minas Gerias (sujeito a Auditoria Financeira a ser realizada) somado ao rendimento de aplicações financeiras estaduais e à projeção de recebimento das parcelas restantes no mesmo valor pago pela Vale da última parcela.</t>
  </si>
  <si>
    <t>IV - Fortalecimento do Serviço Público</t>
  </si>
  <si>
    <t>*Considera o valor com correção monetária e rendimentos judiciais pago ao Estado de Minas Gerias (sujeito a Auditoria Financeira a ser realizada) somado ao rendimento de aplicações financeiras estaduais</t>
  </si>
  <si>
    <t>4.4.9 - Biofábrica/FUNED</t>
  </si>
  <si>
    <t>*Valor atualizado considera o dado de "Acordo Atualizado" informado pela FGV nos produtos entregues em Dezembro/24.</t>
  </si>
  <si>
    <t>4.4.10 - Ressarcimentos de Despesas Públicas</t>
  </si>
  <si>
    <t>4.4.11 - Estruturas de Apoio*</t>
  </si>
  <si>
    <r>
      <rPr>
        <rFont val="Arial"/>
        <color theme="1"/>
        <sz val="11.0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rFont val="Arial"/>
        <color theme="1"/>
        <sz val="11.0"/>
      </rPr>
      <t>*Atualização monetária a ser elaborada pela Auditoria Financeira.</t>
    </r>
  </si>
  <si>
    <t>4.4.12 - TAC Bombeiro e TAC Defesa Civil</t>
  </si>
  <si>
    <t>SUBTOTAL Valores previstos no Acordo a executar</t>
  </si>
  <si>
    <t>PAGO Pré-Acordo - Antecipação COVID</t>
  </si>
  <si>
    <t>PAGO Pré-Acordo - Despesas com reparação pré-Acordo</t>
  </si>
  <si>
    <t>PAGO Pré-Acordo - Auxílio Emergencial</t>
  </si>
  <si>
    <t>PAGO Pré-Acordo - Ressarcimento ao Estado</t>
  </si>
  <si>
    <t>SUBTOTAL Valores executados antes do Acordo</t>
  </si>
  <si>
    <t>TOTAL</t>
  </si>
  <si>
    <t>Valor Nominal após decisões judiciais - Até 30/11/24</t>
  </si>
  <si>
    <t>Valor Atualizado com rendimentos e correções monetárias após decisões judiciais - Até 30/11/24</t>
  </si>
  <si>
    <t>Controle de Atualização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</si>
  <si>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01/11/24.</t>
  </si>
  <si>
    <t xml:space="preserve">1.894.576.684,61, sendo:
 1.638.318.763,74  - Projetos de reparação socioeconômica para a Bacia do Paraopeba - Execução pelos municípios
 256.257.920,87  - Projetos rodoviários regionais - Execução pelo Estado de Minas Gerais diretamente ou  por meio de convênio com os municípios
</t>
  </si>
  <si>
    <t>*Para mais detalhes sobre as decisões judiciais que autorizaram a conversão e os respectivos projetos clique aqui.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informado aqui (COLOCAR O LINK DA PÁGINA "OBRIGAÇÕES DE PAGAR DA VALE", QUE TEM A LINHA DO ANEXO I.3)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</si>
  <si>
    <t xml:space="preserve">Atualizado 30/12 - Brenda </t>
  </si>
  <si>
    <t xml:space="preserve">
778.697.055,42 - Projetos de reparação socioeconômica para Brumadinho - Execução pelo município
</t>
  </si>
  <si>
    <t>*Para mais detalhes sobre as decisões judiciais que autorizaram a conversão e os respectivos projetos clique aqui.
*Obrigação de pagar - Projetos de reparação socioeconômica para Brumadinho: o "Valor Nominal após decisões judiciais" considera o valor nominal dos projetos convertidos a partir do parecer emitido pela FGV e pagos pela Vale em juízo.
* 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</si>
  <si>
    <t>/</t>
  </si>
  <si>
    <t>*Foi homologado judicialmente pedido dos Compromitentes, em comum acordo com a Vale, de conversão de obrigação de fazer em pagar, no valor nominal de R$1,417 bilhão, referente ao projeto "Saneamento Básico na Bacia do Paraopeba". Para acesso à decisão judicial, clique aqui.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somado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clique aqui.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</si>
  <si>
    <t>*Valor atualizado considera o dado de "Acordo Atualizado" informado pela FGV nos produtos entregues em Outubro/24.</t>
  </si>
  <si>
    <r>
      <rPr>
        <rFont val="Arial"/>
        <color theme="1"/>
        <sz val="11.0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rFont val="Arial"/>
        <color theme="1"/>
        <sz val="11.0"/>
      </rPr>
      <t>*Atualização monetária a ser elaborada pela Auditoria Financeira.</t>
    </r>
  </si>
  <si>
    <t>Valor Nominal após decisões judiciais - Até 31/10/24</t>
  </si>
  <si>
    <t>Valor Atualizado com rendimentos e correções monetárias após decisões judiciais - Até 31/10/24</t>
  </si>
  <si>
    <t>Ok Pedro</t>
  </si>
  <si>
    <t>Ok Pedro - 1/11</t>
  </si>
  <si>
    <t xml:space="preserve">1.884.418.557,71, sendo:
 1.629.587.689,70  - Projetos de reparação socioeconômica para a Bacia do Paraopeba - Execução pelos municípios
 254.830.868,01  - Projetos rodoviários regionais - Execução pelo Estado de Minas Gerais diretamente ou  por meio de convênio com os municípios
</t>
  </si>
  <si>
    <t>Ok Karen, Ok Pedro</t>
  </si>
  <si>
    <t>Bacia OK. Atualizado por Eduardo Lana em 01/11</t>
  </si>
  <si>
    <t xml:space="preserve">
774.360.635,86 - Projetos de reparação socioeconômica para Brumadinho - Execução pelo município
</t>
  </si>
  <si>
    <t>Pedro via Andrei ou Áurea</t>
  </si>
  <si>
    <t>Matheus - ok</t>
  </si>
  <si>
    <t>Ok Matheus - 1/11</t>
  </si>
  <si>
    <t>OK Pedro</t>
  </si>
  <si>
    <r>
      <rPr>
        <rFont val="Arial"/>
        <color theme="1"/>
        <sz val="11.0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rFont val="Arial"/>
        <color theme="1"/>
        <sz val="11.0"/>
      </rPr>
      <t>*Atualização monetária a ser elaborada pela Auditoria Financeira.</t>
    </r>
  </si>
  <si>
    <t>Ok</t>
  </si>
  <si>
    <t>Ok fórmula</t>
  </si>
  <si>
    <t>Valor Nominal após decisões judiciais - Até 30/09/24</t>
  </si>
  <si>
    <t>Valor Atualizado com rendimentos e correções monetárias após decisões judiciais - Até 30/09/24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</si>
  <si>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01/10/24.</t>
  </si>
  <si>
    <t>1.726.813.797,04, sendo: 1.490.517.160,05 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</si>
  <si>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1.806.048.179,08, sendo:
  1.552.333.654,98 - Projetos de reparação socioeconômica para a Bacia do Paraopeba - Execução pelos municípios 
 253.714.524,10 - Projetos rodoviários regionais - Execução pelo Estado de Minas Gerais diretamente ou  por meio de convênio com os municípios
</t>
  </si>
  <si>
    <t xml:space="preserve">
 770.968.375,01 - Projetos de reparação socioeconômica para Brumadinho - Execução pelo município
</t>
  </si>
  <si>
    <t>*Foi homologado judicialmente pedido dos Compromitentes, em comum acordo com a Vale, de conversão de obrigação de fazer em pagar, no valor nominal de R$1,417 bilhão, referente ao projeto "Saneamento Básico na Bacia do Paraopeba". Para acesso à decisão judicial, clique aqui. O valor de "Obrigação de pagar" atualizado considera a primeira parcela paga pela Vale, com correção monetária por ela calculado, de R$211.773.067,20 somado ao saldo de valor nominal de R$1,247 bilhão a ser corrigido a cada pagamento conforme cronograma pactuado e sujeito à análise da Auditoria Financeira. Recursos serão recebidos pelo Banco de Desenvolvimento de Minas Gerais - BDMG e repassados aos municípios conforme editais a serem publicados, sem ingresso nos cofres do Poder Executivo Estadual.
*Cálculo da correção monetária das obrigações de fazer remanescentes em discussão com Auditoria Socioambiental.</t>
  </si>
  <si>
    <t>*Valor atualizado considera o dado de "Acordo Atualizado" informado pela FGV nos produtos entregues em Setembro/24.</t>
  </si>
  <si>
    <r>
      <rPr>
        <rFont val="Arial"/>
        <color theme="1"/>
        <sz val="11.0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rFont val="Arial"/>
        <color theme="1"/>
        <sz val="11.0"/>
      </rPr>
      <t>*Atualização monetária a ser elaborada pela Auditoria Financeira.</t>
    </r>
  </si>
  <si>
    <t>Valor Nominal após decisões judiciais - Até 31/08/24</t>
  </si>
  <si>
    <t>Valor Atualizado com rendimentos e correções monetárias após decisões judiciais - Até 31/08/24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</si>
  <si>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02/09/24.</t>
  </si>
  <si>
    <t>1.716.913.774,52, sendo: 1.480.617.137,53 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</si>
  <si>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1.796.507.458,05, sendo:
  1.542.742.180,89 -  Projetos de reparação socioeconômica para a Bacia do Paraopeba - Execução pelos municípios 
 253.765.277,16    - Projetos rodoviários regionais - Execução pelo Estado de Minas Gerais diretamente ou  por meio de convênio com os municípios
</t>
  </si>
  <si>
    <t xml:space="preserve">
 771.122.599,53 - Projetos de reparação socioeconômica para Brumadinho - Execução pelo município
</t>
  </si>
  <si>
    <t>*Valor atualizado considera o dado de "Acordo Atualizado" informado pela FGV nos produtos entregues em Agosto/24.</t>
  </si>
  <si>
    <r>
      <rPr>
        <rFont val="Arial"/>
        <color theme="1"/>
        <sz val="11.0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rFont val="Arial"/>
        <color theme="1"/>
        <sz val="11.0"/>
      </rPr>
      <t>*Atualização monetária a ser elaborada pela Auditoria Financeira.</t>
    </r>
  </si>
  <si>
    <t>Valor Nominal após decisões judiciais - Até 31/07/24</t>
  </si>
  <si>
    <t>Valor Atualizado com rendimentos e correções monetárias após decisões judiciais - Até 31/07/24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</si>
  <si>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01/08/24.</t>
  </si>
  <si>
    <t xml:space="preserve">1.789.866.686,99, sendo:
 1.537.062.067,38  -  Projetos de reparação socioeconômica para a Bacia do Paraopeba - Execução pelos municípios 
 252.804.619,60   - Projetos rodoviários regionais - Execução pelo Estado de Minas Gerais diretamente ou  por meio de convênio com os municípios
</t>
  </si>
  <si>
    <t>OK</t>
  </si>
  <si>
    <t xml:space="preserve">768.203.426,51
 Projetos de reparação socioeconômica para Brumadinho - Execução pelo município
</t>
  </si>
  <si>
    <t>*Valor atualizado considera o dado de "Acordo Atualizado" informado pela FGV nos produtos entregues em Julho/24.</t>
  </si>
  <si>
    <r>
      <rPr>
        <rFont val="Arial"/>
        <color theme="1"/>
        <sz val="11.0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rFont val="Arial"/>
        <color theme="1"/>
        <sz val="11.0"/>
      </rPr>
      <t>*Atualização monetária a ser elaborada pela Auditoria Financeira.</t>
    </r>
  </si>
  <si>
    <t>Valor Nominal após decisões judiciais - Até 30/06/24</t>
  </si>
  <si>
    <t>Valor Atualizado com rendimentos e correções monetárias após decisões judiciais - Até 30/06/24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</si>
  <si>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01/07/24.</t>
  </si>
  <si>
    <t>1.678.455.058,05, sendo: 1.442.158.421,06 -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</si>
  <si>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1.744.174.154,96 sendo:
1.491.899.312,53 -  Projetos de reparação socioeconômica para a Bacia do Paraopeba - Execução pelos municípios 
   252.274.842,43  - Projetos rodoviários regionais - Execução pelo Estado de Minas Gerais diretamente ou  por meio de convênio com os municípios
</t>
  </si>
  <si>
    <t xml:space="preserve">766.593.580,00
 Projetos de reparação socioeconômica para Brumadinho - Execução pelo município
</t>
  </si>
  <si>
    <t>*Foi homologado judicialmente petido dos Compromitentes, em comum acordo com a Vale, de conversão de obrigação de fazer em pagar, no valor nominal de R$1,417 bilhão, referente ao projeto "Saneamento Básico na Bacia do Paraopeba". Para acesso à decisão judicial, clique aqui. Correção monetária do referido valor será calculado pela Vale a cada pagamento e sujeito à análise da Auditoria Financeira. Recursos serão recebidos pelo Banco de Desenvolvimento de Minas Gerais - BDMG e repassados aos municípios conforme editais a serem publicados, sem ingresso nos cofres do Poder Executivo Estadual.
*Cálculo da correção monetária das obrigações de fazer remanescentes em discussão com Auditoria Socioambiental.</t>
  </si>
  <si>
    <t>*Valor atualizado considera o dado de "Acordo Atualizado" informado pela FGV nos produtos entregues em Junho/24.</t>
  </si>
  <si>
    <r>
      <rPr>
        <rFont val="Arial"/>
        <color theme="1"/>
        <sz val="11.0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rFont val="Arial"/>
        <color theme="1"/>
        <sz val="11.0"/>
      </rPr>
      <t>*Atualização monetária a ser elaborada pela Auditoria Financeira.</t>
    </r>
  </si>
  <si>
    <t>ANEXO</t>
  </si>
  <si>
    <t>Valor Original do Acordo Judicial</t>
  </si>
  <si>
    <t>Valor Nominal após decisões judiciais - Até 31/05/24</t>
  </si>
  <si>
    <t>Valor Atualizado com rendimentos e correções monetárias após decisões judiciais - Até 31/05/24</t>
  </si>
  <si>
    <t>OBSERVAÇÃO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</si>
  <si>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03/06/24.</t>
  </si>
  <si>
    <t>1.538.167.873,18, sendo: 1.301.871.236,19 -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</si>
  <si>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1.737.220.093,49, sendo:
 1.486.100.401,64 
-  Projetos de reparação socioeconômica para a Bacia do Paraopeba - Execução pelos municípios 
 251.119.691,85  - Projetos rodoviários regionais - Execução pelo Estado de Minas Gerais diretamente ou  por meio de convênio com os municípios
</t>
  </si>
  <si>
    <t xml:space="preserve">732.396.555,54 Projetos de reparação socioeconômica para Brumadinho - Execução pelo município
</t>
  </si>
  <si>
    <t xml:space="preserve">
763.083.396,37
 Projetos de reparação socioeconômica para Brumadinho - Execução pelo município
</t>
  </si>
  <si>
    <t>*Foi peticionado pelos Compromitentes, em comum acordo com a Vale, a conversão de obrigação de fazer em pagar, no valor nominal de R$1,471 bilhão, referente ao projeto "Saneamento Básico na Bacia do Paraopeba", aguardando decisão judicial. 
*Cálculo da correção monetária em discussão com Auditoria Socioambiental</t>
  </si>
  <si>
    <r>
      <rPr>
        <rFont val="Arial"/>
        <color theme="1"/>
        <sz val="11.0"/>
      </rPr>
      <t xml:space="preserve">*Considera o valor com correção monetária e rendimentos judiciais pago ao Estado de Minas Gerias (sujeito a Auditoria Financeira a ser realizada) somado ao rendimento de aplicações financeiras estaduais e a projeção de recebimento das parcelas restantes no mesmo valor </t>
    </r>
    <r>
      <rPr>
        <rFont val="Arial"/>
        <color theme="1"/>
        <sz val="11.0"/>
      </rPr>
      <t>pago pela Vale</t>
    </r>
    <r>
      <rPr>
        <rFont val="Arial"/>
        <color theme="1"/>
        <sz val="11.0"/>
      </rPr>
      <t xml:space="preserve"> da última parcela.</t>
    </r>
  </si>
  <si>
    <t>*Valor atualizado considera o dado de "Acordo Atualizado" informado pela FGV nos produtos entregues em Maio/24.</t>
  </si>
  <si>
    <r>
      <rPr>
        <rFont val="Arial"/>
        <color theme="1"/>
        <sz val="11.0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rFont val="Arial"/>
        <color theme="1"/>
        <sz val="11.0"/>
      </rPr>
      <t>*Atualização monetária a ser elaborada pela Auditoria Financeira.</t>
    </r>
  </si>
  <si>
    <t>Valor Nominal após decisões judiciais - Até 31/03/24</t>
  </si>
  <si>
    <t>Valor Atualizado com rendimentos e correções monetárias após decisões judiciais - Até 31/03/24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</si>
  <si>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17/04/24.</t>
  </si>
  <si>
    <t xml:space="preserve">1.486.057.989,74, sendo:
1.249.761.352,75 -  Projetos de reparação socioeconômica para a Bacia do Paraopeba - Execução pelos municípios 
236.296.636,99 - Projetos rodoviários regionais - Execução pelo Estado de Minas Gerais diretamente ou  por meio de convênio com os municípios
</t>
  </si>
  <si>
    <t xml:space="preserve">1.552.739.725, 38:
   1.302.570.675,92 
-  Projetos de reparação socioeconômica para a Bacia do Paraopeba - Execução pelos municípios 
 250.169.049,46 - Projetos rodoviários regionais - Execução pelo Estado de Minas Gerais diretamente ou  por meio de convênio com os municípios
</t>
  </si>
  <si>
    <t>*Para mais detalhes sobre as decisões judiciais que autorizaram a conversão e os respectivos projetos clique aqui.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monetárias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informado aqui (COLOCAR O LINK DA PÁGINA "OBRIGAÇÕES DE PAGAR DA VALE", QUE TEM A LINHA DO ANEXO I.3)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</si>
  <si>
    <t xml:space="preserve"> 760.194.656,67
 Projetos de reparação socioeconômica para Brumadinho - Execução pelo município
</t>
  </si>
  <si>
    <r>
      <rPr>
        <rFont val="Arial"/>
        <color theme="1"/>
        <sz val="11.0"/>
      </rPr>
      <t xml:space="preserve">*Considera o valor com correção monetária e rendimentos judiciais pago ao Estado de Minas Gerias (sujeito a Auditoria Financeira a ser realizada) somado ao rendimento de aplicações financeiras estaduais e a projeção de recebimento das parcelas restantes no mesmo valor </t>
    </r>
    <r>
      <rPr>
        <rFont val="Arial"/>
        <color theme="1"/>
        <sz val="11.0"/>
      </rPr>
      <t>pago pela Vale</t>
    </r>
    <r>
      <rPr>
        <rFont val="Arial"/>
        <color theme="1"/>
        <sz val="11.0"/>
      </rPr>
      <t xml:space="preserve"> da última parcela.</t>
    </r>
  </si>
  <si>
    <t>*Valor atualizado considera o dado de dado de "Acordo Atualizado" informado pela FGV em 26/04/24.</t>
  </si>
  <si>
    <r>
      <rPr>
        <rFont val="Arial"/>
        <color theme="1"/>
        <sz val="11.0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rFont val="Arial"/>
        <color theme="1"/>
        <sz val="11.0"/>
      </rPr>
      <t>*Atualização monetária a ser elaborada pela Auditoria Financeira.</t>
    </r>
  </si>
  <si>
    <t>*Valor atualizado considera o dado de "Acordo Atualizado" informado pela FGV em 26/04/24.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</si>
</sst>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[$R$ -416]#,##0.00"/>
  </numFmts>
  <fonts count="23">
    <font>
      <sz val="11.0"/>
      <color theme="1"/>
      <name val="Aptos narrow"/>
      <scheme val="minor"/>
    </font>
    <font>
      <sz val="9.0"/>
      <color theme="1"/>
      <name val="Aptos narrow"/>
    </font>
    <font>
      <color theme="1"/>
      <name val="Aptos narrow"/>
    </font>
    <font>
      <b/>
      <sz val="11.0"/>
      <color rgb="FF156082"/>
      <name val="Arial"/>
    </font>
    <font/>
    <font>
      <b/>
      <sz val="11.0"/>
      <color rgb="FFFFFFFF"/>
      <name val="Arial"/>
    </font>
    <font>
      <sz val="11.0"/>
      <color theme="1"/>
      <name val="Arial"/>
    </font>
    <font>
      <sz val="11.0"/>
      <color theme="1"/>
      <name val="Aptos narrow"/>
    </font>
    <font>
      <b/>
      <sz val="11.0"/>
      <color theme="1"/>
      <name val="Aptos narrow"/>
    </font>
    <font>
      <b/>
      <sz val="11.0"/>
      <color theme="1"/>
      <name val="Arial"/>
    </font>
    <font>
      <u/>
      <sz val="11.0"/>
      <color theme="1"/>
      <name val="Arial"/>
    </font>
    <font>
      <u/>
      <sz val="11.0"/>
      <color theme="1"/>
      <name val="Arial"/>
    </font>
    <font>
      <color theme="1"/>
      <name val="Arial"/>
    </font>
    <font>
      <u/>
      <sz val="11.0"/>
      <color theme="1"/>
      <name val="Arial"/>
    </font>
    <font>
      <b/>
      <i/>
      <sz val="11.0"/>
      <color theme="1"/>
      <name val="Arial"/>
    </font>
    <font>
      <b/>
      <i/>
      <sz val="11.0"/>
      <color theme="1"/>
      <name val="Aptos narrow"/>
    </font>
    <font>
      <i/>
      <sz val="11.0"/>
      <color theme="1"/>
      <name val="Aptos narrow"/>
    </font>
    <font>
      <i/>
      <color theme="1"/>
      <name val="Aptos narrow"/>
    </font>
    <font>
      <sz val="11.0"/>
      <color rgb="FF000000"/>
      <name val="Arial"/>
    </font>
    <font>
      <i/>
      <sz val="11.0"/>
      <color theme="1"/>
      <name val="Arial"/>
    </font>
    <font>
      <i/>
      <color theme="1"/>
      <name val="Arial"/>
    </font>
    <font>
      <b/>
      <sz val="11.0"/>
      <color rgb="FFFFFFFF"/>
      <name val="Aptos narrow"/>
    </font>
    <font>
      <sz val="11.0"/>
      <color rgb="FF1F1F1F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495D7B"/>
        <bgColor rgb="FF495D7B"/>
      </patternFill>
    </fill>
    <fill>
      <patternFill patternType="solid">
        <fgColor rgb="FFD46C7B"/>
        <bgColor rgb="FFD46C7B"/>
      </patternFill>
    </fill>
    <fill>
      <patternFill patternType="solid">
        <fgColor rgb="FFF3F3F3"/>
        <bgColor rgb="FFF3F3F3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rgb="FFFF0000"/>
      </patternFill>
    </fill>
    <fill>
      <patternFill patternType="solid">
        <fgColor theme="9"/>
        <bgColor theme="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6FA8DC"/>
        <bgColor rgb="FF6FA8DC"/>
      </patternFill>
    </fill>
  </fills>
  <borders count="21">
    <border/>
    <border>
      <left style="thick">
        <color rgb="FFFFFFFF"/>
      </left>
      <right style="thick">
        <color rgb="FFFFFFFF"/>
      </right>
      <top style="thick">
        <color rgb="FFFFFFFF"/>
      </top>
    </border>
    <border>
      <left style="thick">
        <color rgb="FFFFFFFF"/>
      </lef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6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2" numFmtId="0" xfId="0" applyAlignment="1" applyFont="1">
      <alignment horizontal="left" vertical="center"/>
    </xf>
    <xf borderId="0" fillId="2" fontId="2" numFmtId="0" xfId="0" applyAlignment="1" applyFont="1">
      <alignment horizontal="left" shrinkToFit="0" vertical="center" wrapText="1"/>
    </xf>
    <xf borderId="1" fillId="3" fontId="3" numFmtId="0" xfId="0" applyAlignment="1" applyBorder="1" applyFill="1" applyFont="1">
      <alignment horizontal="center" shrinkToFit="0" vertical="center" wrapText="1"/>
    </xf>
    <xf borderId="2" fillId="3" fontId="3" numFmtId="0" xfId="0" applyAlignment="1" applyBorder="1" applyFont="1">
      <alignment horizontal="center" shrinkToFit="0" vertical="center" wrapText="0"/>
    </xf>
    <xf borderId="3" fillId="0" fontId="4" numFmtId="0" xfId="0" applyBorder="1" applyFont="1"/>
    <xf borderId="4" fillId="0" fontId="4" numFmtId="0" xfId="0" applyBorder="1" applyFont="1"/>
    <xf borderId="2" fillId="3" fontId="3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vertical="center"/>
    </xf>
    <xf borderId="5" fillId="0" fontId="4" numFmtId="0" xfId="0" applyBorder="1" applyFont="1"/>
    <xf borderId="6" fillId="4" fontId="5" numFmtId="0" xfId="0" applyAlignment="1" applyBorder="1" applyFill="1" applyFont="1">
      <alignment horizontal="center" shrinkToFit="0" vertical="center" wrapText="0"/>
    </xf>
    <xf borderId="6" fillId="5" fontId="5" numFmtId="0" xfId="0" applyAlignment="1" applyBorder="1" applyFill="1" applyFont="1">
      <alignment horizontal="center" shrinkToFit="0" vertical="center" wrapText="1"/>
    </xf>
    <xf borderId="6" fillId="3" fontId="3" numFmtId="0" xfId="0" applyAlignment="1" applyBorder="1" applyFont="1">
      <alignment horizontal="center" shrinkToFit="0" vertical="center" wrapText="0"/>
    </xf>
    <xf borderId="7" fillId="6" fontId="6" numFmtId="0" xfId="0" applyAlignment="1" applyBorder="1" applyFill="1" applyFont="1">
      <alignment vertical="center"/>
    </xf>
    <xf borderId="7" fillId="6" fontId="6" numFmtId="164" xfId="0" applyAlignment="1" applyBorder="1" applyFont="1" applyNumberFormat="1">
      <alignment vertical="center"/>
    </xf>
    <xf borderId="7" fillId="6" fontId="7" numFmtId="164" xfId="0" applyAlignment="1" applyBorder="1" applyFont="1" applyNumberFormat="1">
      <alignment vertical="center"/>
    </xf>
    <xf borderId="7" fillId="6" fontId="8" numFmtId="164" xfId="0" applyAlignment="1" applyBorder="1" applyFont="1" applyNumberFormat="1">
      <alignment horizontal="center" vertical="center"/>
    </xf>
    <xf borderId="7" fillId="6" fontId="7" numFmtId="164" xfId="0" applyAlignment="1" applyBorder="1" applyFont="1" applyNumberFormat="1">
      <alignment horizontal="center" vertical="center"/>
    </xf>
    <xf borderId="8" fillId="6" fontId="7" numFmtId="164" xfId="0" applyAlignment="1" applyBorder="1" applyFont="1" applyNumberFormat="1">
      <alignment horizontal="center" vertical="center"/>
    </xf>
    <xf borderId="7" fillId="6" fontId="6" numFmtId="164" xfId="0" applyAlignment="1" applyBorder="1" applyFont="1" applyNumberFormat="1">
      <alignment horizontal="center" vertical="center"/>
    </xf>
    <xf borderId="8" fillId="6" fontId="6" numFmtId="164" xfId="0" applyAlignment="1" applyBorder="1" applyFont="1" applyNumberFormat="1">
      <alignment horizontal="left" shrinkToFit="0" vertical="top" wrapText="1"/>
    </xf>
    <xf borderId="9" fillId="0" fontId="7" numFmtId="0" xfId="0" applyAlignment="1" applyBorder="1" applyFont="1">
      <alignment vertical="center"/>
    </xf>
    <xf borderId="9" fillId="0" fontId="6" numFmtId="164" xfId="0" applyAlignment="1" applyBorder="1" applyFont="1" applyNumberFormat="1">
      <alignment vertical="center"/>
    </xf>
    <xf borderId="9" fillId="0" fontId="7" numFmtId="164" xfId="0" applyAlignment="1" applyBorder="1" applyFont="1" applyNumberFormat="1">
      <alignment vertical="center"/>
    </xf>
    <xf borderId="7" fillId="0" fontId="9" numFmtId="164" xfId="0" applyAlignment="1" applyBorder="1" applyFont="1" applyNumberFormat="1">
      <alignment horizontal="center"/>
    </xf>
    <xf borderId="8" fillId="0" fontId="7" numFmtId="164" xfId="0" applyAlignment="1" applyBorder="1" applyFont="1" applyNumberFormat="1">
      <alignment vertical="center"/>
    </xf>
    <xf borderId="8" fillId="0" fontId="10" numFmtId="164" xfId="0" applyAlignment="1" applyBorder="1" applyFont="1" applyNumberFormat="1">
      <alignment horizontal="left" readingOrder="0" shrinkToFit="0" wrapText="1"/>
    </xf>
    <xf borderId="9" fillId="0" fontId="6" numFmtId="164" xfId="0" applyAlignment="1" applyBorder="1" applyFont="1" applyNumberFormat="1">
      <alignment horizontal="center" vertical="center"/>
    </xf>
    <xf borderId="9" fillId="0" fontId="7" numFmtId="164" xfId="0" applyAlignment="1" applyBorder="1" applyFont="1" applyNumberFormat="1">
      <alignment horizontal="center" vertical="center"/>
    </xf>
    <xf borderId="9" fillId="0" fontId="6" numFmtId="164" xfId="0" applyAlignment="1" applyBorder="1" applyFont="1" applyNumberFormat="1">
      <alignment horizontal="center" shrinkToFit="0" vertical="center" wrapText="1"/>
    </xf>
    <xf borderId="9" fillId="0" fontId="11" numFmtId="164" xfId="0" applyAlignment="1" applyBorder="1" applyFont="1" applyNumberFormat="1">
      <alignment horizontal="left" readingOrder="0" shrinkToFit="0" vertical="center" wrapText="1"/>
    </xf>
    <xf borderId="0" fillId="0" fontId="12" numFmtId="0" xfId="0" applyAlignment="1" applyFont="1">
      <alignment horizontal="left" shrinkToFit="0" vertical="center" wrapText="1"/>
    </xf>
    <xf borderId="9" fillId="0" fontId="6" numFmtId="0" xfId="0" applyAlignment="1" applyBorder="1" applyFont="1">
      <alignment vertical="center"/>
    </xf>
    <xf borderId="9" fillId="0" fontId="6" numFmtId="164" xfId="0" applyAlignment="1" applyBorder="1" applyFont="1" applyNumberFormat="1">
      <alignment horizontal="left" shrinkToFit="0" vertical="center" wrapText="1"/>
    </xf>
    <xf borderId="9" fillId="0" fontId="13" numFmtId="165" xfId="0" applyAlignment="1" applyBorder="1" applyFont="1" applyNumberFormat="1">
      <alignment horizontal="left" readingOrder="0" shrinkToFit="0" vertical="center" wrapText="1"/>
    </xf>
    <xf borderId="9" fillId="0" fontId="14" numFmtId="0" xfId="0" applyAlignment="1" applyBorder="1" applyFont="1">
      <alignment vertical="center"/>
    </xf>
    <xf borderId="9" fillId="0" fontId="15" numFmtId="164" xfId="0" applyAlignment="1" applyBorder="1" applyFont="1" applyNumberFormat="1">
      <alignment vertical="center"/>
    </xf>
    <xf borderId="0" fillId="2" fontId="16" numFmtId="164" xfId="0" applyAlignment="1" applyFont="1" applyNumberFormat="1">
      <alignment horizontal="left" vertical="center"/>
    </xf>
    <xf borderId="0" fillId="0" fontId="17" numFmtId="0" xfId="0" applyAlignment="1" applyFont="1">
      <alignment vertical="center"/>
    </xf>
    <xf borderId="0" fillId="2" fontId="7" numFmtId="164" xfId="0" applyAlignment="1" applyFont="1" applyNumberFormat="1">
      <alignment horizontal="left" vertical="center"/>
    </xf>
    <xf borderId="6" fillId="7" fontId="5" numFmtId="0" xfId="0" applyAlignment="1" applyBorder="1" applyFill="1" applyFont="1">
      <alignment horizontal="center" shrinkToFit="0" vertical="center" wrapText="0"/>
    </xf>
    <xf borderId="6" fillId="7" fontId="5" numFmtId="164" xfId="0" applyAlignment="1" applyBorder="1" applyFont="1" applyNumberFormat="1">
      <alignment horizontal="center" shrinkToFit="0" vertical="center" wrapText="0"/>
    </xf>
    <xf borderId="2" fillId="7" fontId="5" numFmtId="164" xfId="0" applyAlignment="1" applyBorder="1" applyFont="1" applyNumberFormat="1">
      <alignment horizontal="center" shrinkToFit="0" vertical="center" wrapText="0"/>
    </xf>
    <xf borderId="0" fillId="2" fontId="5" numFmtId="0" xfId="0" applyAlignment="1" applyFont="1">
      <alignment horizontal="center" shrinkToFit="0" vertical="center" wrapText="0"/>
    </xf>
    <xf borderId="0" fillId="2" fontId="7" numFmtId="0" xfId="0" applyAlignment="1" applyFont="1">
      <alignment horizontal="left" vertical="center"/>
    </xf>
    <xf borderId="0" fillId="2" fontId="7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2" fontId="18" numFmtId="4" xfId="0" applyAlignment="1" applyFont="1" applyNumberFormat="1">
      <alignment horizontal="center" vertical="center"/>
    </xf>
    <xf borderId="0" fillId="8" fontId="12" numFmtId="0" xfId="0" applyAlignment="1" applyFill="1" applyFont="1">
      <alignment horizontal="left" shrinkToFit="0" vertical="center" wrapText="1"/>
    </xf>
    <xf borderId="0" fillId="2" fontId="6" numFmtId="0" xfId="0" applyAlignment="1" applyFont="1">
      <alignment horizontal="left" shrinkToFit="0" vertical="top" wrapText="1"/>
    </xf>
    <xf borderId="0" fillId="9" fontId="6" numFmtId="0" xfId="0" applyAlignment="1" applyFill="1" applyFont="1">
      <alignment horizontal="left" shrinkToFit="0" vertical="top" wrapText="1"/>
    </xf>
    <xf borderId="8" fillId="0" fontId="6" numFmtId="164" xfId="0" applyAlignment="1" applyBorder="1" applyFont="1" applyNumberFormat="1">
      <alignment shrinkToFit="0" wrapText="1"/>
    </xf>
    <xf borderId="9" fillId="0" fontId="6" numFmtId="164" xfId="0" applyAlignment="1" applyBorder="1" applyFont="1" applyNumberFormat="1">
      <alignment shrinkToFit="0" vertical="center" wrapText="1"/>
    </xf>
    <xf borderId="0" fillId="0" fontId="12" numFmtId="0" xfId="0" applyFont="1"/>
    <xf borderId="9" fillId="0" fontId="6" numFmtId="165" xfId="0" applyAlignment="1" applyBorder="1" applyFont="1" applyNumberFormat="1">
      <alignment shrinkToFit="0" vertical="center" wrapText="1"/>
    </xf>
    <xf borderId="9" fillId="0" fontId="16" numFmtId="164" xfId="0" applyAlignment="1" applyBorder="1" applyFont="1" applyNumberFormat="1">
      <alignment vertical="center"/>
    </xf>
    <xf borderId="0" fillId="9" fontId="19" numFmtId="0" xfId="0" applyAlignment="1" applyFont="1">
      <alignment horizontal="left" shrinkToFit="0" vertical="top" wrapText="1"/>
    </xf>
    <xf borderId="0" fillId="9" fontId="19" numFmtId="10" xfId="0" applyAlignment="1" applyFont="1" applyNumberFormat="1">
      <alignment horizontal="left" shrinkToFit="0" vertical="top" wrapText="1"/>
    </xf>
    <xf borderId="0" fillId="0" fontId="6" numFmtId="0" xfId="0" applyAlignment="1" applyFont="1">
      <alignment horizontal="left" shrinkToFit="0" vertical="top" wrapText="1"/>
    </xf>
    <xf borderId="6" fillId="4" fontId="5" numFmtId="0" xfId="0" applyAlignment="1" applyBorder="1" applyFont="1">
      <alignment horizontal="center" shrinkToFit="0" vertical="center" wrapText="0"/>
    </xf>
    <xf borderId="6" fillId="4" fontId="5" numFmtId="164" xfId="0" applyAlignment="1" applyBorder="1" applyFont="1" applyNumberFormat="1">
      <alignment horizontal="center" shrinkToFit="0" vertical="center" wrapText="0"/>
    </xf>
    <xf borderId="0" fillId="4" fontId="5" numFmtId="0" xfId="0" applyAlignment="1" applyFont="1">
      <alignment horizontal="center" shrinkToFit="0" vertical="center" wrapText="0"/>
    </xf>
    <xf borderId="0" fillId="2" fontId="7" numFmtId="0" xfId="0" applyAlignment="1" applyFont="1">
      <alignment vertical="center"/>
    </xf>
    <xf borderId="0" fillId="2" fontId="7" numFmtId="0" xfId="0" applyAlignment="1" applyFont="1">
      <alignment horizontal="left" shrinkToFit="0" vertical="center" wrapText="1"/>
    </xf>
    <xf borderId="0" fillId="10" fontId="6" numFmtId="0" xfId="0" applyAlignment="1" applyFill="1" applyFont="1">
      <alignment horizontal="left" shrinkToFit="0" vertical="top" wrapText="1"/>
    </xf>
    <xf borderId="9" fillId="11" fontId="7" numFmtId="164" xfId="0" applyAlignment="1" applyBorder="1" applyFill="1" applyFont="1" applyNumberFormat="1">
      <alignment vertical="center"/>
    </xf>
    <xf borderId="0" fillId="9" fontId="19" numFmtId="164" xfId="0" applyAlignment="1" applyFont="1" applyNumberFormat="1">
      <alignment horizontal="left" shrinkToFit="0" vertical="top" wrapText="1"/>
    </xf>
    <xf borderId="0" fillId="9" fontId="2" numFmtId="0" xfId="0" applyAlignment="1" applyFont="1">
      <alignment horizontal="left" shrinkToFit="0" vertical="center" wrapText="1"/>
    </xf>
    <xf borderId="0" fillId="9" fontId="2" numFmtId="0" xfId="0" applyAlignment="1" applyFont="1">
      <alignment vertical="center"/>
    </xf>
    <xf borderId="0" fillId="9" fontId="12" numFmtId="0" xfId="0" applyAlignment="1" applyFont="1">
      <alignment horizontal="left" shrinkToFit="0" vertical="center" wrapText="1"/>
    </xf>
    <xf borderId="0" fillId="11" fontId="2" numFmtId="0" xfId="0" applyAlignment="1" applyFont="1">
      <alignment vertical="center"/>
    </xf>
    <xf borderId="0" fillId="12" fontId="2" numFmtId="0" xfId="0" applyAlignment="1" applyFill="1" applyFont="1">
      <alignment vertical="center"/>
    </xf>
    <xf borderId="0" fillId="9" fontId="20" numFmtId="0" xfId="0" applyAlignment="1" applyFont="1">
      <alignment horizontal="left" shrinkToFit="0" vertical="center" wrapText="1"/>
    </xf>
    <xf borderId="0" fillId="11" fontId="17" numFmtId="0" xfId="0" applyAlignment="1" applyFont="1">
      <alignment vertical="center"/>
    </xf>
    <xf borderId="0" fillId="2" fontId="17" numFmtId="0" xfId="0" applyAlignment="1" applyFont="1">
      <alignment horizontal="left" shrinkToFit="0" vertical="center" wrapText="1"/>
    </xf>
    <xf borderId="0" fillId="2" fontId="17" numFmtId="0" xfId="0" applyAlignment="1" applyFont="1">
      <alignment vertical="center"/>
    </xf>
    <xf borderId="10" fillId="13" fontId="21" numFmtId="0" xfId="0" applyAlignment="1" applyBorder="1" applyFill="1" applyFont="1">
      <alignment horizontal="center" vertical="center"/>
    </xf>
    <xf borderId="11" fillId="13" fontId="21" numFmtId="0" xfId="0" applyAlignment="1" applyBorder="1" applyFont="1">
      <alignment horizontal="center" vertical="center"/>
    </xf>
    <xf borderId="12" fillId="0" fontId="4" numFmtId="0" xfId="0" applyBorder="1" applyFont="1"/>
    <xf borderId="13" fillId="0" fontId="4" numFmtId="0" xfId="0" applyBorder="1" applyFont="1"/>
    <xf borderId="11" fillId="13" fontId="5" numFmtId="0" xfId="0" applyAlignment="1" applyBorder="1" applyFont="1">
      <alignment horizontal="center" vertical="center"/>
    </xf>
    <xf borderId="11" fillId="13" fontId="5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15" fillId="13" fontId="21" numFmtId="0" xfId="0" applyAlignment="1" applyBorder="1" applyFont="1">
      <alignment horizontal="center" vertical="center"/>
    </xf>
    <xf borderId="7" fillId="2" fontId="7" numFmtId="0" xfId="0" applyAlignment="1" applyBorder="1" applyFont="1">
      <alignment vertical="center"/>
    </xf>
    <xf borderId="7" fillId="2" fontId="6" numFmtId="164" xfId="0" applyAlignment="1" applyBorder="1" applyFont="1" applyNumberFormat="1">
      <alignment vertical="center"/>
    </xf>
    <xf borderId="7" fillId="2" fontId="7" numFmtId="164" xfId="0" applyAlignment="1" applyBorder="1" applyFont="1" applyNumberFormat="1">
      <alignment vertical="center"/>
    </xf>
    <xf borderId="16" fillId="2" fontId="8" numFmtId="164" xfId="0" applyAlignment="1" applyBorder="1" applyFont="1" applyNumberFormat="1">
      <alignment horizontal="center"/>
    </xf>
    <xf borderId="9" fillId="2" fontId="7" numFmtId="164" xfId="0" applyAlignment="1" applyBorder="1" applyFont="1" applyNumberFormat="1">
      <alignment horizontal="center"/>
    </xf>
    <xf borderId="9" fillId="2" fontId="7" numFmtId="164" xfId="0" applyBorder="1" applyFont="1" applyNumberFormat="1"/>
    <xf borderId="8" fillId="2" fontId="7" numFmtId="164" xfId="0" applyAlignment="1" applyBorder="1" applyFont="1" applyNumberFormat="1">
      <alignment horizontal="center"/>
    </xf>
    <xf borderId="9" fillId="2" fontId="6" numFmtId="164" xfId="0" applyAlignment="1" applyBorder="1" applyFont="1" applyNumberFormat="1">
      <alignment horizontal="center"/>
    </xf>
    <xf borderId="8" fillId="2" fontId="6" numFmtId="164" xfId="0" applyAlignment="1" applyBorder="1" applyFont="1" applyNumberFormat="1">
      <alignment horizontal="left" shrinkToFit="0" vertical="top" wrapText="1"/>
    </xf>
    <xf borderId="9" fillId="2" fontId="7" numFmtId="0" xfId="0" applyAlignment="1" applyBorder="1" applyFont="1">
      <alignment vertical="center"/>
    </xf>
    <xf borderId="9" fillId="2" fontId="6" numFmtId="164" xfId="0" applyAlignment="1" applyBorder="1" applyFont="1" applyNumberFormat="1">
      <alignment vertical="center"/>
    </xf>
    <xf borderId="9" fillId="2" fontId="7" numFmtId="164" xfId="0" applyAlignment="1" applyBorder="1" applyFont="1" applyNumberFormat="1">
      <alignment vertical="center"/>
    </xf>
    <xf borderId="7" fillId="2" fontId="9" numFmtId="164" xfId="0" applyAlignment="1" applyBorder="1" applyFont="1" applyNumberFormat="1">
      <alignment horizontal="center"/>
    </xf>
    <xf borderId="8" fillId="2" fontId="7" numFmtId="164" xfId="0" applyBorder="1" applyFont="1" applyNumberFormat="1"/>
    <xf borderId="8" fillId="2" fontId="6" numFmtId="164" xfId="0" applyAlignment="1" applyBorder="1" applyFont="1" applyNumberFormat="1">
      <alignment shrinkToFit="0" wrapText="1"/>
    </xf>
    <xf borderId="0" fillId="2" fontId="12" numFmtId="0" xfId="0" applyAlignment="1" applyFont="1">
      <alignment horizontal="left" shrinkToFit="0" vertical="center" wrapText="1"/>
    </xf>
    <xf borderId="9" fillId="2" fontId="6" numFmtId="164" xfId="0" applyAlignment="1" applyBorder="1" applyFont="1" applyNumberFormat="1">
      <alignment horizontal="center" vertical="center"/>
    </xf>
    <xf borderId="9" fillId="2" fontId="7" numFmtId="164" xfId="0" applyAlignment="1" applyBorder="1" applyFont="1" applyNumberFormat="1">
      <alignment horizontal="center" vertical="center"/>
    </xf>
    <xf borderId="9" fillId="2" fontId="6" numFmtId="164" xfId="0" applyAlignment="1" applyBorder="1" applyFont="1" applyNumberFormat="1">
      <alignment horizontal="center" shrinkToFit="0" vertical="center" wrapText="1"/>
    </xf>
    <xf borderId="0" fillId="2" fontId="2" numFmtId="165" xfId="0" applyAlignment="1" applyFont="1" applyNumberFormat="1">
      <alignment horizontal="center" vertical="center"/>
    </xf>
    <xf borderId="0" fillId="2" fontId="2" numFmtId="0" xfId="0" applyAlignment="1" applyFont="1">
      <alignment horizontal="center" vertical="center"/>
    </xf>
    <xf borderId="0" fillId="2" fontId="12" numFmtId="0" xfId="0" applyAlignment="1" applyFont="1">
      <alignment horizontal="center" vertical="center"/>
    </xf>
    <xf borderId="0" fillId="2" fontId="18" numFmtId="4" xfId="0" applyAlignment="1" applyFont="1" applyNumberFormat="1">
      <alignment horizontal="center"/>
    </xf>
    <xf borderId="9" fillId="2" fontId="6" numFmtId="164" xfId="0" applyAlignment="1" applyBorder="1" applyFont="1" applyNumberFormat="1">
      <alignment shrinkToFit="0" vertical="center" wrapText="1"/>
    </xf>
    <xf borderId="9" fillId="2" fontId="6" numFmtId="0" xfId="0" applyAlignment="1" applyBorder="1" applyFont="1">
      <alignment vertical="center"/>
    </xf>
    <xf borderId="0" fillId="2" fontId="22" numFmtId="0" xfId="0" applyFont="1"/>
    <xf borderId="9" fillId="2" fontId="14" numFmtId="0" xfId="0" applyAlignment="1" applyBorder="1" applyFont="1">
      <alignment vertical="center"/>
    </xf>
    <xf borderId="9" fillId="2" fontId="15" numFmtId="164" xfId="0" applyAlignment="1" applyBorder="1" applyFont="1" applyNumberFormat="1">
      <alignment vertical="center"/>
    </xf>
    <xf borderId="9" fillId="2" fontId="16" numFmtId="164" xfId="0" applyAlignment="1" applyBorder="1" applyFont="1" applyNumberFormat="1">
      <alignment vertical="center"/>
    </xf>
    <xf borderId="0" fillId="2" fontId="20" numFmtId="0" xfId="0" applyAlignment="1" applyFont="1">
      <alignment horizontal="left" shrinkToFit="0" vertical="center" wrapText="1"/>
    </xf>
    <xf borderId="9" fillId="2" fontId="8" numFmtId="0" xfId="0" applyAlignment="1" applyBorder="1" applyFont="1">
      <alignment vertical="center"/>
    </xf>
    <xf borderId="9" fillId="2" fontId="8" numFmtId="164" xfId="0" applyAlignment="1" applyBorder="1" applyFont="1" applyNumberFormat="1">
      <alignment vertical="center"/>
    </xf>
    <xf borderId="0" fillId="0" fontId="1" numFmtId="0" xfId="0" applyAlignment="1" applyFont="1">
      <alignment vertical="center"/>
    </xf>
    <xf borderId="10" fillId="7" fontId="21" numFmtId="0" xfId="0" applyAlignment="1" applyBorder="1" applyFont="1">
      <alignment horizontal="center" vertical="center"/>
    </xf>
    <xf borderId="11" fillId="7" fontId="21" numFmtId="0" xfId="0" applyAlignment="1" applyBorder="1" applyFont="1">
      <alignment horizontal="center" vertical="center"/>
    </xf>
    <xf borderId="11" fillId="7" fontId="5" numFmtId="0" xfId="0" applyAlignment="1" applyBorder="1" applyFont="1">
      <alignment horizontal="center" vertical="center"/>
    </xf>
    <xf borderId="11" fillId="7" fontId="5" numFmtId="0" xfId="0" applyAlignment="1" applyBorder="1" applyFont="1">
      <alignment horizontal="center" shrinkToFit="0" vertical="center" wrapText="1"/>
    </xf>
    <xf borderId="15" fillId="7" fontId="21" numFmtId="0" xfId="0" applyAlignment="1" applyBorder="1" applyFont="1">
      <alignment vertical="center"/>
    </xf>
    <xf borderId="7" fillId="0" fontId="7" numFmtId="0" xfId="0" applyAlignment="1" applyBorder="1" applyFont="1">
      <alignment vertical="center"/>
    </xf>
    <xf borderId="7" fillId="0" fontId="6" numFmtId="164" xfId="0" applyAlignment="1" applyBorder="1" applyFont="1" applyNumberFormat="1">
      <alignment vertical="center"/>
    </xf>
    <xf borderId="7" fillId="0" fontId="7" numFmtId="164" xfId="0" applyAlignment="1" applyBorder="1" applyFont="1" applyNumberFormat="1">
      <alignment vertical="center"/>
    </xf>
    <xf borderId="16" fillId="0" fontId="8" numFmtId="164" xfId="0" applyAlignment="1" applyBorder="1" applyFont="1" applyNumberFormat="1">
      <alignment horizontal="center"/>
    </xf>
    <xf borderId="17" fillId="0" fontId="8" numFmtId="164" xfId="0" applyAlignment="1" applyBorder="1" applyFont="1" applyNumberFormat="1">
      <alignment horizontal="center"/>
    </xf>
    <xf borderId="17" fillId="0" fontId="4" numFmtId="0" xfId="0" applyBorder="1" applyFont="1"/>
    <xf borderId="8" fillId="0" fontId="4" numFmtId="0" xfId="0" applyBorder="1" applyFont="1"/>
    <xf borderId="17" fillId="0" fontId="9" numFmtId="164" xfId="0" applyAlignment="1" applyBorder="1" applyFont="1" applyNumberFormat="1">
      <alignment horizontal="center"/>
    </xf>
    <xf borderId="18" fillId="0" fontId="9" numFmtId="0" xfId="0" applyAlignment="1" applyBorder="1" applyFont="1">
      <alignment horizontal="center" shrinkToFit="0" wrapText="1"/>
    </xf>
    <xf borderId="18" fillId="0" fontId="4" numFmtId="0" xfId="0" applyBorder="1" applyFont="1"/>
    <xf borderId="19" fillId="0" fontId="4" numFmtId="0" xfId="0" applyBorder="1" applyFont="1"/>
    <xf borderId="20" fillId="0" fontId="8" numFmtId="0" xfId="0" applyAlignment="1" applyBorder="1" applyFont="1">
      <alignment horizontal="center"/>
    </xf>
    <xf borderId="9" fillId="0" fontId="7" numFmtId="0" xfId="0" applyAlignment="1" applyBorder="1" applyFont="1">
      <alignment vertical="center"/>
    </xf>
    <xf borderId="9" fillId="0" fontId="6" numFmtId="164" xfId="0" applyAlignment="1" applyBorder="1" applyFont="1" applyNumberFormat="1">
      <alignment vertical="center"/>
    </xf>
    <xf borderId="9" fillId="0" fontId="7" numFmtId="164" xfId="0" applyAlignment="1" applyBorder="1" applyFont="1" applyNumberFormat="1">
      <alignment vertical="center"/>
    </xf>
    <xf borderId="7" fillId="0" fontId="4" numFmtId="0" xfId="0" applyBorder="1" applyFont="1"/>
    <xf borderId="8" fillId="0" fontId="8" numFmtId="164" xfId="0" applyBorder="1" applyFont="1" applyNumberFormat="1"/>
    <xf borderId="8" fillId="0" fontId="8" numFmtId="0" xfId="0" applyBorder="1" applyFont="1"/>
    <xf borderId="9" fillId="0" fontId="6" numFmtId="164" xfId="0" applyAlignment="1" applyBorder="1" applyFont="1" applyNumberFormat="1">
      <alignment horizontal="center" vertical="center"/>
    </xf>
    <xf borderId="9" fillId="0" fontId="7" numFmtId="164" xfId="0" applyAlignment="1" applyBorder="1" applyFont="1" applyNumberFormat="1">
      <alignment horizontal="center" vertical="center"/>
    </xf>
    <xf borderId="9" fillId="0" fontId="6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165" xfId="0" applyAlignment="1" applyFont="1" applyNumberFormat="1">
      <alignment horizontal="center" vertical="center"/>
    </xf>
    <xf borderId="0" fillId="0" fontId="12" numFmtId="0" xfId="0" applyAlignment="1" applyFont="1">
      <alignment horizontal="center" vertical="center"/>
    </xf>
    <xf borderId="9" fillId="0" fontId="6" numFmtId="0" xfId="0" applyAlignment="1" applyBorder="1" applyFont="1">
      <alignment vertical="center"/>
    </xf>
    <xf borderId="9" fillId="0" fontId="6" numFmtId="164" xfId="0" applyAlignment="1" applyBorder="1" applyFont="1" applyNumberFormat="1">
      <alignment shrinkToFit="0" vertical="center" wrapText="1"/>
    </xf>
    <xf borderId="9" fillId="0" fontId="14" numFmtId="0" xfId="0" applyAlignment="1" applyBorder="1" applyFont="1">
      <alignment vertical="center"/>
    </xf>
    <xf borderId="9" fillId="0" fontId="15" numFmtId="164" xfId="0" applyAlignment="1" applyBorder="1" applyFont="1" applyNumberFormat="1">
      <alignment vertical="center"/>
    </xf>
    <xf borderId="9" fillId="0" fontId="16" numFmtId="164" xfId="0" applyAlignment="1" applyBorder="1" applyFont="1" applyNumberFormat="1">
      <alignment vertical="center"/>
    </xf>
    <xf borderId="9" fillId="0" fontId="8" numFmtId="0" xfId="0" applyAlignment="1" applyBorder="1" applyFont="1">
      <alignment vertical="center"/>
    </xf>
    <xf borderId="9" fillId="0" fontId="8" numFmtId="164" xfId="0" applyAlignment="1" applyBorder="1" applyFont="1" applyNumberFormat="1">
      <alignment vertical="center"/>
    </xf>
    <xf borderId="0" fillId="0" fontId="7" numFmtId="0" xfId="0" applyAlignment="1" applyFont="1">
      <alignment horizontal="left" shrinkToFit="0" vertical="center" wrapText="1"/>
    </xf>
    <xf borderId="0" fillId="0" fontId="12" numFmtId="4" xfId="0" applyAlignment="1" applyFont="1" applyNumberFormat="1">
      <alignment horizontal="center"/>
    </xf>
    <xf borderId="0" fillId="0" fontId="2" numFmtId="4" xfId="0" applyFont="1" applyNumberFormat="1"/>
    <xf borderId="0" fillId="6" fontId="18" numFmtId="4" xfId="0" applyAlignment="1" applyFont="1" applyNumberFormat="1">
      <alignment horizontal="center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  <tableStyles count="7">
    <tableStyle count="3" pivot="0" name="311224-style">
      <tableStyleElement dxfId="1" type="headerRow"/>
      <tableStyleElement dxfId="2" type="firstRowStripe"/>
      <tableStyleElement dxfId="3" type="secondRowStripe"/>
    </tableStyle>
    <tableStyle count="3" pivot="0" name="301124-style">
      <tableStyleElement dxfId="1" type="headerRow"/>
      <tableStyleElement dxfId="2" type="firstRowStripe"/>
      <tableStyleElement dxfId="3" type="secondRowStripe"/>
    </tableStyle>
    <tableStyle count="3" pivot="0" name="311024-style">
      <tableStyleElement dxfId="1" type="headerRow"/>
      <tableStyleElement dxfId="2" type="firstRowStripe"/>
      <tableStyleElement dxfId="3" type="secondRowStripe"/>
    </tableStyle>
    <tableStyle count="3" pivot="0" name="300924-style">
      <tableStyleElement dxfId="1" type="headerRow"/>
      <tableStyleElement dxfId="2" type="firstRowStripe"/>
      <tableStyleElement dxfId="3" type="secondRowStripe"/>
    </tableStyle>
    <tableStyle count="3" pivot="0" name="310824-style">
      <tableStyleElement dxfId="1" type="headerRow"/>
      <tableStyleElement dxfId="2" type="firstRowStripe"/>
      <tableStyleElement dxfId="3" type="secondRowStripe"/>
    </tableStyle>
    <tableStyle count="3" pivot="0" name="310724-style">
      <tableStyleElement dxfId="1" type="headerRow"/>
      <tableStyleElement dxfId="2" type="firstRowStripe"/>
      <tableStyleElement dxfId="3" type="secondRowStripe"/>
    </tableStyle>
    <tableStyle count="3" pivot="0" name="300624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4:N24" displayName="Table_1" name="Table_1" id="1">
  <tableColumns count="1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</tableColumns>
  <tableStyleInfo name="31122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4:N24" displayName="Table_2" name="Table_2" id="2">
  <tableColumns count="1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</tableColumns>
  <tableStyleInfo name="30112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4:O24" displayName="Table_3" name="Table_3" id="3">
  <tableColumns count="15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</tableColumns>
  <tableStyleInfo name="31102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A4:O24" displayName="Table_4" name="Table_4" id="4">
  <tableColumns count="15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</tableColumns>
  <tableStyleInfo name="30092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A4:O24" displayName="Table_5" name="Table_5" id="5">
  <tableColumns count="15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</tableColumns>
  <tableStyleInfo name="31082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A4:O24" displayName="Table_6" name="Table_6" id="6">
  <tableColumns count="15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</tableColumns>
  <tableStyleInfo name="31072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headerRowCount="0" ref="A4:K24" displayName="Table_7" name="Table_7" id="7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30062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tr.fgv.br/transparencia" TargetMode="External"/><Relationship Id="rId2" Type="http://schemas.openxmlformats.org/officeDocument/2006/relationships/hyperlink" Target="https://www.mg.gov.br/pro-brumadinho/pagina/reparacao-brumadinho-projetos-de-fortalecimento-dos-servicos-publicos-bacia-do-paraopeba" TargetMode="External"/><Relationship Id="rId3" Type="http://schemas.openxmlformats.org/officeDocument/2006/relationships/hyperlink" Target="https://www.mg.gov.br/pro-brumadinho/pagina/reparacao-brumadinho-fortalecimento-dos-servicos-publicos-em-brumadinho" TargetMode="External"/><Relationship Id="rId4" Type="http://schemas.openxmlformats.org/officeDocument/2006/relationships/hyperlink" Target="https://www.bdmg.mg.gov.br/edital-paraopeba/" TargetMode="External"/><Relationship Id="rId5" Type="http://schemas.openxmlformats.org/officeDocument/2006/relationships/drawing" Target="../drawings/drawing1.xml"/><Relationship Id="rId7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39.88"/>
    <col customWidth="1" min="2" max="2" width="17.88"/>
    <col customWidth="1" min="3" max="3" width="18.75"/>
    <col customWidth="1" min="4" max="5" width="18.0"/>
    <col customWidth="1" min="6" max="6" width="18.75"/>
    <col customWidth="1" min="7" max="8" width="18.0"/>
    <col customWidth="1" min="9" max="9" width="18.75"/>
    <col customWidth="1" min="10" max="10" width="21.38"/>
    <col customWidth="1" min="11" max="11" width="40.38"/>
    <col customWidth="1" min="12" max="12" width="23.5"/>
    <col customWidth="1" min="13" max="13" width="16.75"/>
    <col customWidth="1" min="14" max="14" width="10.63"/>
    <col customWidth="1" min="15" max="28" width="8.6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34.5" customHeight="1">
      <c r="A2" s="5" t="s">
        <v>0</v>
      </c>
      <c r="B2" s="6" t="s">
        <v>1</v>
      </c>
      <c r="C2" s="7"/>
      <c r="D2" s="8"/>
      <c r="E2" s="6" t="s">
        <v>2</v>
      </c>
      <c r="F2" s="7"/>
      <c r="G2" s="8"/>
      <c r="H2" s="9" t="s">
        <v>3</v>
      </c>
      <c r="I2" s="7"/>
      <c r="J2" s="8"/>
      <c r="K2" s="10" t="s">
        <v>4</v>
      </c>
      <c r="L2" s="11"/>
      <c r="M2" s="11"/>
      <c r="N2" s="1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28.5" customHeight="1">
      <c r="A3" s="12"/>
      <c r="B3" s="13" t="s">
        <v>5</v>
      </c>
      <c r="C3" s="14" t="s">
        <v>6</v>
      </c>
      <c r="D3" s="15" t="s">
        <v>7</v>
      </c>
      <c r="E3" s="13" t="s">
        <v>5</v>
      </c>
      <c r="F3" s="14" t="s">
        <v>6</v>
      </c>
      <c r="G3" s="15" t="s">
        <v>7</v>
      </c>
      <c r="H3" s="13" t="s">
        <v>5</v>
      </c>
      <c r="I3" s="14" t="s">
        <v>6</v>
      </c>
      <c r="J3" s="15" t="s">
        <v>7</v>
      </c>
      <c r="K3" s="12"/>
      <c r="L3" s="11"/>
      <c r="M3" s="11"/>
      <c r="N3" s="1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>
      <c r="A4" s="16" t="s">
        <v>8</v>
      </c>
      <c r="B4" s="17">
        <v>0.0</v>
      </c>
      <c r="C4" s="18">
        <v>3.0E9</v>
      </c>
      <c r="D4" s="18">
        <f t="shared" ref="D4:D16" si="1">SUM(B4:C4)</f>
        <v>3000000000</v>
      </c>
      <c r="E4" s="19">
        <v>0.0</v>
      </c>
      <c r="F4" s="20">
        <v>3.0E9</v>
      </c>
      <c r="G4" s="18">
        <f t="shared" ref="G4:G5" si="2">SUM(E4:F4)</f>
        <v>3000000000</v>
      </c>
      <c r="H4" s="21"/>
      <c r="I4" s="22">
        <f>1766210022.45+1693108143.42</f>
        <v>3459318166</v>
      </c>
      <c r="J4" s="22">
        <f t="shared" ref="J4:J5" si="3">SUM(H4:I4)</f>
        <v>3459318166</v>
      </c>
      <c r="K4" s="23" t="s">
        <v>9</v>
      </c>
      <c r="L4" s="2"/>
      <c r="M4" s="2"/>
      <c r="N4" s="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>
      <c r="A5" s="24" t="s">
        <v>10</v>
      </c>
      <c r="B5" s="25">
        <v>0.0</v>
      </c>
      <c r="C5" s="26">
        <v>4.4E9</v>
      </c>
      <c r="D5" s="26">
        <f t="shared" si="1"/>
        <v>4400000000</v>
      </c>
      <c r="E5" s="27">
        <v>0.0</v>
      </c>
      <c r="F5" s="28">
        <v>4.4E9</v>
      </c>
      <c r="G5" s="28">
        <f t="shared" si="2"/>
        <v>4400000000</v>
      </c>
      <c r="H5" s="28">
        <v>0.0</v>
      </c>
      <c r="I5" s="28">
        <f>2000000000+282312603.74+2325834136.37+8387.5+1141000000</f>
        <v>5749155128</v>
      </c>
      <c r="J5" s="28">
        <f t="shared" si="3"/>
        <v>5749155128</v>
      </c>
      <c r="K5" s="29" t="s">
        <v>11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>
      <c r="A6" s="24" t="s">
        <v>12</v>
      </c>
      <c r="B6" s="30">
        <v>2.375E9</v>
      </c>
      <c r="C6" s="31">
        <v>1.25E8</v>
      </c>
      <c r="D6" s="31">
        <f t="shared" si="1"/>
        <v>2500000000</v>
      </c>
      <c r="E6" s="32">
        <v>7.0271887622E8</v>
      </c>
      <c r="F6" s="32" t="s">
        <v>13</v>
      </c>
      <c r="G6" s="32">
        <v>2.5E9</v>
      </c>
      <c r="H6" s="32">
        <f>1262054854.49654</f>
        <v>1262054854</v>
      </c>
      <c r="I6" s="32" t="s">
        <v>14</v>
      </c>
      <c r="J6" s="32">
        <f>H6+1901965533.67472</f>
        <v>3164020388</v>
      </c>
      <c r="K6" s="33" t="s">
        <v>15</v>
      </c>
      <c r="L6" s="2"/>
      <c r="M6" s="2"/>
      <c r="N6" s="2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>
      <c r="A7" s="35" t="s">
        <v>16</v>
      </c>
      <c r="B7" s="30">
        <v>1.5E9</v>
      </c>
      <c r="C7" s="25">
        <v>0.0</v>
      </c>
      <c r="D7" s="26">
        <f t="shared" si="1"/>
        <v>1500000000</v>
      </c>
      <c r="E7" s="32">
        <v>7.6673987501E8</v>
      </c>
      <c r="F7" s="32" t="s">
        <v>17</v>
      </c>
      <c r="G7" s="26">
        <v>1.5E9</v>
      </c>
      <c r="H7" s="25">
        <v>1.11667825896178E9</v>
      </c>
      <c r="I7" s="32" t="s">
        <v>18</v>
      </c>
      <c r="J7" s="26">
        <f>H7+781733973.940979</f>
        <v>1898412233</v>
      </c>
      <c r="K7" s="33" t="s">
        <v>19</v>
      </c>
      <c r="L7" s="11"/>
      <c r="M7" s="11"/>
      <c r="N7" s="11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>
      <c r="A8" s="35" t="s">
        <v>20</v>
      </c>
      <c r="B8" s="25">
        <v>5.0E9</v>
      </c>
      <c r="C8" s="25">
        <v>0.0</v>
      </c>
      <c r="D8" s="26">
        <f t="shared" si="1"/>
        <v>5000000000</v>
      </c>
      <c r="E8" s="25">
        <v>5.0E9</v>
      </c>
      <c r="F8" s="25">
        <v>0.0</v>
      </c>
      <c r="G8" s="26">
        <f t="shared" ref="G8:G16" si="4">SUM(E8:F8)</f>
        <v>5000000000</v>
      </c>
      <c r="H8" s="25">
        <v>5.0E9</v>
      </c>
      <c r="I8" s="25">
        <v>0.0</v>
      </c>
      <c r="J8" s="26">
        <f t="shared" ref="J8:J16" si="5">SUM(H8:I8)</f>
        <v>5000000000</v>
      </c>
      <c r="K8" s="36" t="s">
        <v>21</v>
      </c>
      <c r="L8" s="2"/>
      <c r="M8" s="2"/>
      <c r="N8" s="2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>
      <c r="A9" s="35" t="s">
        <v>22</v>
      </c>
      <c r="B9" s="25">
        <v>1.55E9</v>
      </c>
      <c r="C9" s="25">
        <v>0.0</v>
      </c>
      <c r="D9" s="26">
        <f t="shared" si="1"/>
        <v>1550000000</v>
      </c>
      <c r="E9" s="25">
        <f>1550000000-1417001073</f>
        <v>132998927</v>
      </c>
      <c r="F9" s="25">
        <v>1.417001073E9</v>
      </c>
      <c r="G9" s="26">
        <f t="shared" si="4"/>
        <v>1550000000</v>
      </c>
      <c r="H9" s="25">
        <v>1.32998927E8</v>
      </c>
      <c r="I9" s="25">
        <f>(1417001073-170000000-400000000)+211773067.2+503338675.12</f>
        <v>1562112815</v>
      </c>
      <c r="J9" s="26">
        <f t="shared" si="5"/>
        <v>1695111742</v>
      </c>
      <c r="K9" s="37" t="s">
        <v>23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>
      <c r="A10" s="24" t="s">
        <v>24</v>
      </c>
      <c r="B10" s="25">
        <v>0.0</v>
      </c>
      <c r="C10" s="25">
        <v>2.05E9</v>
      </c>
      <c r="D10" s="26">
        <f t="shared" si="1"/>
        <v>2050000000</v>
      </c>
      <c r="E10" s="25">
        <v>0.0</v>
      </c>
      <c r="F10" s="25">
        <v>2.05E9</v>
      </c>
      <c r="G10" s="26">
        <f t="shared" si="4"/>
        <v>2050000000</v>
      </c>
      <c r="H10" s="25">
        <v>0.0</v>
      </c>
      <c r="I10" s="25">
        <v>3.03664825543E9</v>
      </c>
      <c r="J10" s="26">
        <f t="shared" si="5"/>
        <v>3036648255</v>
      </c>
      <c r="K10" s="36" t="s">
        <v>25</v>
      </c>
      <c r="L10" s="2"/>
      <c r="M10" s="2"/>
      <c r="N10" s="2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ht="143.25" customHeight="1">
      <c r="A11" s="24" t="s">
        <v>26</v>
      </c>
      <c r="B11" s="25">
        <v>0.0</v>
      </c>
      <c r="C11" s="25">
        <v>4.95E9</v>
      </c>
      <c r="D11" s="26">
        <f t="shared" si="1"/>
        <v>4950000000</v>
      </c>
      <c r="E11" s="25">
        <v>0.0</v>
      </c>
      <c r="F11" s="25">
        <v>4.95E9</v>
      </c>
      <c r="G11" s="26">
        <f t="shared" si="4"/>
        <v>4950000000</v>
      </c>
      <c r="H11" s="25">
        <v>0.0</v>
      </c>
      <c r="I11" s="25">
        <f>4227017476.53+(4*522082373.71)</f>
        <v>6315346971</v>
      </c>
      <c r="J11" s="26">
        <f t="shared" si="5"/>
        <v>6315346971</v>
      </c>
      <c r="K11" s="36" t="s">
        <v>27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>
      <c r="A12" s="24" t="s">
        <v>28</v>
      </c>
      <c r="B12" s="25">
        <v>0.0</v>
      </c>
      <c r="C12" s="25">
        <v>3.65E9</v>
      </c>
      <c r="D12" s="26">
        <f t="shared" si="1"/>
        <v>3650000000</v>
      </c>
      <c r="E12" s="25">
        <v>0.0</v>
      </c>
      <c r="F12" s="25">
        <v>3.65E9</v>
      </c>
      <c r="G12" s="26">
        <f t="shared" si="4"/>
        <v>3650000000</v>
      </c>
      <c r="H12" s="25">
        <v>0.0</v>
      </c>
      <c r="I12" s="25">
        <v>4.58850560654E9</v>
      </c>
      <c r="J12" s="26">
        <f t="shared" si="5"/>
        <v>4588505607</v>
      </c>
      <c r="K12" s="36" t="s">
        <v>29</v>
      </c>
      <c r="L12" s="2"/>
      <c r="M12" s="2"/>
      <c r="N12" s="2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>
      <c r="A13" s="24" t="s">
        <v>30</v>
      </c>
      <c r="B13" s="26">
        <v>1.35E8</v>
      </c>
      <c r="C13" s="25">
        <v>0.0</v>
      </c>
      <c r="D13" s="26">
        <f t="shared" si="1"/>
        <v>135000000</v>
      </c>
      <c r="E13" s="25">
        <v>1.35E8</v>
      </c>
      <c r="F13" s="25">
        <v>0.0</v>
      </c>
      <c r="G13" s="26">
        <f t="shared" si="4"/>
        <v>135000000</v>
      </c>
      <c r="H13" s="25">
        <v>1.7085710096E8</v>
      </c>
      <c r="I13" s="25">
        <v>0.0</v>
      </c>
      <c r="J13" s="26">
        <f t="shared" si="5"/>
        <v>170857101</v>
      </c>
      <c r="K13" s="36" t="s">
        <v>31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>
      <c r="A14" s="24" t="s">
        <v>32</v>
      </c>
      <c r="B14" s="25">
        <v>0.0</v>
      </c>
      <c r="C14" s="25">
        <v>3.1E8</v>
      </c>
      <c r="D14" s="26">
        <f t="shared" si="1"/>
        <v>310000000</v>
      </c>
      <c r="E14" s="25">
        <v>0.0</v>
      </c>
      <c r="F14" s="25">
        <v>3.1E8</v>
      </c>
      <c r="G14" s="26">
        <f t="shared" si="4"/>
        <v>310000000</v>
      </c>
      <c r="H14" s="25">
        <v>0.0</v>
      </c>
      <c r="I14" s="25">
        <v>4.5349936033E8</v>
      </c>
      <c r="J14" s="26">
        <f t="shared" si="5"/>
        <v>453499360.3</v>
      </c>
      <c r="K14" s="36" t="s">
        <v>29</v>
      </c>
      <c r="L14" s="2"/>
      <c r="M14" s="2"/>
      <c r="N14" s="2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>
      <c r="A15" s="35" t="s">
        <v>33</v>
      </c>
      <c r="B15" s="25">
        <v>6.0E8</v>
      </c>
      <c r="C15" s="25">
        <v>1.0E8</v>
      </c>
      <c r="D15" s="26">
        <f t="shared" si="1"/>
        <v>700000000</v>
      </c>
      <c r="E15" s="25">
        <v>6.0E8</v>
      </c>
      <c r="F15" s="25">
        <v>1.0E8</v>
      </c>
      <c r="G15" s="26">
        <f t="shared" si="4"/>
        <v>700000000</v>
      </c>
      <c r="H15" s="25">
        <v>6.0E8</v>
      </c>
      <c r="I15" s="25">
        <v>1.0E8</v>
      </c>
      <c r="J15" s="26">
        <f t="shared" si="5"/>
        <v>700000000</v>
      </c>
      <c r="K15" s="36" t="s">
        <v>34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>
      <c r="A16" s="24" t="s">
        <v>35</v>
      </c>
      <c r="B16" s="26">
        <f>71040828+96619306</f>
        <v>167660134</v>
      </c>
      <c r="C16" s="25">
        <v>0.0</v>
      </c>
      <c r="D16" s="26">
        <f t="shared" si="1"/>
        <v>167660134</v>
      </c>
      <c r="E16" s="26">
        <f>71040828+96619306</f>
        <v>167660134</v>
      </c>
      <c r="F16" s="25">
        <v>0.0</v>
      </c>
      <c r="G16" s="26">
        <f t="shared" si="4"/>
        <v>167660134</v>
      </c>
      <c r="H16" s="26">
        <f>89909851.2738272+122282181.629983</f>
        <v>212192032.9</v>
      </c>
      <c r="I16" s="25"/>
      <c r="J16" s="26">
        <f t="shared" si="5"/>
        <v>212192032.9</v>
      </c>
      <c r="K16" s="36" t="s">
        <v>31</v>
      </c>
      <c r="L16" s="2"/>
      <c r="M16" s="2"/>
      <c r="N16" s="2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ht="15.75" customHeight="1">
      <c r="A17" s="38" t="s">
        <v>36</v>
      </c>
      <c r="B17" s="39">
        <f t="shared" ref="B17:E17" si="6">SUM(B4:B16)</f>
        <v>11327660134</v>
      </c>
      <c r="C17" s="39">
        <f t="shared" si="6"/>
        <v>18585000000</v>
      </c>
      <c r="D17" s="39">
        <f t="shared" si="6"/>
        <v>29912660134</v>
      </c>
      <c r="E17" s="39">
        <f t="shared" si="6"/>
        <v>7505117812</v>
      </c>
      <c r="F17" s="39">
        <f>SUM(F4:F16)+1797281123.78+733260124.99</f>
        <v>22407542322</v>
      </c>
      <c r="G17" s="39">
        <f t="shared" ref="G17:H17" si="7">SUM(G4:G16)</f>
        <v>29912660134</v>
      </c>
      <c r="H17" s="39">
        <f t="shared" si="7"/>
        <v>8494781174</v>
      </c>
      <c r="I17" s="39">
        <f>SUM(I4:I16)+1901965533.67+781733973.94</f>
        <v>27948285810</v>
      </c>
      <c r="J17" s="39">
        <f>SUM(J4:J16)</f>
        <v>36443066984</v>
      </c>
      <c r="K17" s="40"/>
      <c r="L17" s="2"/>
      <c r="M17" s="2"/>
      <c r="N17" s="2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</row>
    <row r="18">
      <c r="A18" s="24" t="s">
        <v>37</v>
      </c>
      <c r="B18" s="25">
        <v>0.0</v>
      </c>
      <c r="C18" s="25">
        <v>1.5E9</v>
      </c>
      <c r="D18" s="26">
        <f t="shared" ref="D18:D21" si="8">SUM(B18:C18)</f>
        <v>1500000000</v>
      </c>
      <c r="E18" s="25">
        <v>0.0</v>
      </c>
      <c r="F18" s="25">
        <v>1.5E9</v>
      </c>
      <c r="G18" s="26">
        <f t="shared" ref="G18:G21" si="9">SUM(E18:F18)</f>
        <v>1500000000</v>
      </c>
      <c r="H18" s="25">
        <v>0.0</v>
      </c>
      <c r="I18" s="25">
        <v>1.5E9</v>
      </c>
      <c r="J18" s="26">
        <f t="shared" ref="J18:J21" si="10">SUM(H18:I18)</f>
        <v>1500000000</v>
      </c>
      <c r="K18" s="42"/>
      <c r="L18" s="2"/>
      <c r="M18" s="2"/>
      <c r="N18" s="2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>
      <c r="A19" s="24" t="s">
        <v>38</v>
      </c>
      <c r="B19" s="26">
        <v>4.392583672E9</v>
      </c>
      <c r="C19" s="25">
        <v>0.0</v>
      </c>
      <c r="D19" s="26">
        <f t="shared" si="8"/>
        <v>4392583672</v>
      </c>
      <c r="E19" s="25">
        <v>4.392583672E9</v>
      </c>
      <c r="F19" s="25">
        <v>0.0</v>
      </c>
      <c r="G19" s="26">
        <f t="shared" si="9"/>
        <v>4392583672</v>
      </c>
      <c r="H19" s="25">
        <v>4.392583672E9</v>
      </c>
      <c r="I19" s="25">
        <v>0.0</v>
      </c>
      <c r="J19" s="26">
        <f t="shared" si="10"/>
        <v>4392583672</v>
      </c>
      <c r="K19" s="42"/>
      <c r="L19" s="2"/>
      <c r="M19" s="2"/>
      <c r="N19" s="2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>
      <c r="A20" s="24" t="s">
        <v>39</v>
      </c>
      <c r="B20" s="26">
        <v>1.774471573E9</v>
      </c>
      <c r="C20" s="25">
        <v>0.0</v>
      </c>
      <c r="D20" s="26">
        <f t="shared" si="8"/>
        <v>1774471573</v>
      </c>
      <c r="E20" s="25">
        <v>1.774471573E9</v>
      </c>
      <c r="F20" s="25">
        <v>0.0</v>
      </c>
      <c r="G20" s="26">
        <f t="shared" si="9"/>
        <v>1774471573</v>
      </c>
      <c r="H20" s="25">
        <v>1.774471573E9</v>
      </c>
      <c r="I20" s="25">
        <v>0.0</v>
      </c>
      <c r="J20" s="26">
        <f t="shared" si="10"/>
        <v>1774471573</v>
      </c>
      <c r="K20" s="42"/>
      <c r="L20" s="2"/>
      <c r="M20" s="2"/>
      <c r="N20" s="2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>
      <c r="A21" s="24" t="s">
        <v>40</v>
      </c>
      <c r="B21" s="25">
        <v>0.0</v>
      </c>
      <c r="C21" s="26">
        <v>1.1005195E8</v>
      </c>
      <c r="D21" s="26">
        <f t="shared" si="8"/>
        <v>110051950</v>
      </c>
      <c r="E21" s="25">
        <v>0.0</v>
      </c>
      <c r="F21" s="25">
        <v>1.1005195E8</v>
      </c>
      <c r="G21" s="26">
        <f t="shared" si="9"/>
        <v>110051950</v>
      </c>
      <c r="H21" s="25">
        <v>0.0</v>
      </c>
      <c r="I21" s="25">
        <v>1.1005195E8</v>
      </c>
      <c r="J21" s="26">
        <f t="shared" si="10"/>
        <v>110051950</v>
      </c>
      <c r="K21" s="42"/>
      <c r="L21" s="2"/>
      <c r="M21" s="2"/>
      <c r="N21" s="2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ht="15.75" customHeight="1">
      <c r="A22" s="38" t="s">
        <v>41</v>
      </c>
      <c r="B22" s="39">
        <f t="shared" ref="B22:J22" si="11">SUM(B18:B21)</f>
        <v>6167055245</v>
      </c>
      <c r="C22" s="39">
        <f t="shared" si="11"/>
        <v>1610051950</v>
      </c>
      <c r="D22" s="39">
        <f t="shared" si="11"/>
        <v>7777107195</v>
      </c>
      <c r="E22" s="39">
        <f t="shared" si="11"/>
        <v>6167055245</v>
      </c>
      <c r="F22" s="39">
        <f t="shared" si="11"/>
        <v>1610051950</v>
      </c>
      <c r="G22" s="39">
        <f t="shared" si="11"/>
        <v>7777107195</v>
      </c>
      <c r="H22" s="39">
        <f t="shared" si="11"/>
        <v>6167055245</v>
      </c>
      <c r="I22" s="39">
        <f t="shared" si="11"/>
        <v>1610051950</v>
      </c>
      <c r="J22" s="39">
        <f t="shared" si="11"/>
        <v>7777107195</v>
      </c>
      <c r="K22" s="40"/>
      <c r="L22" s="2"/>
      <c r="M22" s="2"/>
      <c r="N22" s="2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</row>
    <row r="23" ht="15.75" customHeight="1">
      <c r="A23" s="43" t="s">
        <v>42</v>
      </c>
      <c r="B23" s="44">
        <f t="shared" ref="B23:J23" si="12">B17+B22</f>
        <v>17494715379</v>
      </c>
      <c r="C23" s="44">
        <f t="shared" si="12"/>
        <v>20195051950</v>
      </c>
      <c r="D23" s="44">
        <f t="shared" si="12"/>
        <v>37689767329</v>
      </c>
      <c r="E23" s="44">
        <f t="shared" si="12"/>
        <v>13672173057</v>
      </c>
      <c r="F23" s="44">
        <f t="shared" si="12"/>
        <v>24017594272</v>
      </c>
      <c r="G23" s="44">
        <f t="shared" si="12"/>
        <v>37689767329</v>
      </c>
      <c r="H23" s="44">
        <f t="shared" si="12"/>
        <v>14661836419</v>
      </c>
      <c r="I23" s="44">
        <f t="shared" si="12"/>
        <v>29558337760</v>
      </c>
      <c r="J23" s="45">
        <f t="shared" si="12"/>
        <v>44220174179</v>
      </c>
      <c r="K23" s="42"/>
      <c r="L23" s="2"/>
      <c r="M23" s="2"/>
      <c r="N23" s="2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ht="15.7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"/>
      <c r="M24" s="2"/>
      <c r="N24" s="2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ht="15.7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3"/>
      <c r="L25" s="49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ht="15.75" customHeight="1">
      <c r="A26" s="48"/>
      <c r="B26" s="48"/>
      <c r="C26" s="48"/>
      <c r="D26" s="48"/>
      <c r="E26" s="48"/>
      <c r="F26" s="50"/>
      <c r="G26" s="48"/>
      <c r="H26" s="48"/>
      <c r="I26" s="50"/>
      <c r="J26" s="48"/>
      <c r="K26" s="3"/>
      <c r="L26" s="49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3"/>
      <c r="L27" s="49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3"/>
      <c r="L28" s="49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3"/>
      <c r="L29" s="49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3"/>
      <c r="L30" s="49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3"/>
      <c r="L31" s="49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3"/>
      <c r="L32" s="49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3"/>
      <c r="L33" s="49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3"/>
      <c r="L34" s="49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3"/>
      <c r="L35" s="49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3"/>
      <c r="L36" s="49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3"/>
      <c r="L37" s="49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3"/>
      <c r="L38" s="49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3"/>
      <c r="L39" s="49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3"/>
      <c r="L40" s="49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  <c r="L41" s="49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3"/>
      <c r="L42" s="49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3"/>
      <c r="L43" s="49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3"/>
      <c r="L44" s="49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3"/>
      <c r="L45" s="49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3"/>
      <c r="L46" s="49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3"/>
      <c r="L47" s="49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3"/>
      <c r="L48" s="49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3"/>
      <c r="L49" s="49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3"/>
      <c r="L50" s="49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3"/>
      <c r="L51" s="49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3"/>
      <c r="L52" s="49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3"/>
      <c r="L53" s="49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3"/>
      <c r="L54" s="49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3"/>
      <c r="L55" s="49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3"/>
      <c r="L56" s="49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3"/>
      <c r="L57" s="49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3"/>
      <c r="L58" s="49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3"/>
      <c r="L59" s="49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3"/>
      <c r="L60" s="49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3"/>
      <c r="L61" s="49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3"/>
      <c r="L62" s="49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3"/>
      <c r="L63" s="49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3"/>
      <c r="L64" s="49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3"/>
      <c r="L65" s="49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3"/>
      <c r="L66" s="49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3"/>
      <c r="L67" s="49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3"/>
      <c r="L68" s="49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3"/>
      <c r="L69" s="49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3"/>
      <c r="L70" s="49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3"/>
      <c r="L71" s="49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3"/>
      <c r="L72" s="49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3"/>
      <c r="L73" s="49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3"/>
      <c r="L74" s="49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3"/>
      <c r="L75" s="49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3"/>
      <c r="L76" s="49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3"/>
      <c r="L77" s="49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3"/>
      <c r="L78" s="49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3"/>
      <c r="L79" s="49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3"/>
      <c r="L80" s="49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3"/>
      <c r="L81" s="49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3"/>
      <c r="L82" s="49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3"/>
      <c r="L83" s="49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3"/>
      <c r="L84" s="49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3"/>
      <c r="L85" s="49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3"/>
      <c r="L86" s="49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3"/>
      <c r="L87" s="49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3"/>
      <c r="L88" s="49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3"/>
      <c r="L89" s="4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3"/>
      <c r="L90" s="49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3"/>
      <c r="L91" s="49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3"/>
      <c r="L92" s="49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3"/>
      <c r="L93" s="49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3"/>
      <c r="L94" s="49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3"/>
      <c r="L95" s="49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3"/>
      <c r="L96" s="49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3"/>
      <c r="L97" s="49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3"/>
      <c r="L98" s="49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3"/>
      <c r="L99" s="49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3"/>
      <c r="L100" s="49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3"/>
      <c r="L101" s="49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3"/>
      <c r="L102" s="49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3"/>
      <c r="L103" s="49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"/>
      <c r="L104" s="49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3"/>
      <c r="L105" s="49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3"/>
      <c r="L106" s="49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3"/>
      <c r="L107" s="49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3"/>
      <c r="L108" s="49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3"/>
      <c r="L109" s="49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3"/>
      <c r="L110" s="49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3"/>
      <c r="L111" s="49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3"/>
      <c r="L112" s="49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3"/>
      <c r="L113" s="49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3"/>
      <c r="L114" s="49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3"/>
      <c r="L115" s="49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3"/>
      <c r="L116" s="49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3"/>
      <c r="L117" s="49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3"/>
      <c r="L118" s="49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3"/>
      <c r="L119" s="49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3"/>
      <c r="L120" s="49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3"/>
      <c r="L121" s="49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3"/>
      <c r="L122" s="49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3"/>
      <c r="L123" s="49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3"/>
      <c r="L124" s="49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3"/>
      <c r="L125" s="49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3"/>
      <c r="L126" s="49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3"/>
      <c r="L127" s="49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3"/>
      <c r="L128" s="49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3"/>
      <c r="L129" s="49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3"/>
      <c r="L130" s="49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3"/>
      <c r="L131" s="49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3"/>
      <c r="L132" s="49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3"/>
      <c r="L133" s="49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3"/>
      <c r="L134" s="49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3"/>
      <c r="L135" s="49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3"/>
      <c r="L136" s="49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3"/>
      <c r="L137" s="49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3"/>
      <c r="L138" s="49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3"/>
      <c r="L139" s="49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3"/>
      <c r="L140" s="49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3"/>
      <c r="L141" s="49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3"/>
      <c r="L142" s="49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3"/>
      <c r="L143" s="49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3"/>
      <c r="L144" s="49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3"/>
      <c r="L145" s="49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3"/>
      <c r="L146" s="49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3"/>
      <c r="L147" s="49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3"/>
      <c r="L148" s="49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3"/>
      <c r="L149" s="49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3"/>
      <c r="L150" s="49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3"/>
      <c r="L151" s="49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3"/>
      <c r="L152" s="49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3"/>
      <c r="L153" s="49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3"/>
      <c r="L154" s="49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3"/>
      <c r="L155" s="49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3"/>
      <c r="L156" s="49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3"/>
      <c r="L157" s="49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3"/>
      <c r="L158" s="49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3"/>
      <c r="L159" s="49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3"/>
      <c r="L160" s="49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3"/>
      <c r="L161" s="49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3"/>
      <c r="L162" s="49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3"/>
      <c r="L163" s="49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3"/>
      <c r="L164" s="49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3"/>
      <c r="L165" s="49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3"/>
      <c r="L166" s="49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3"/>
      <c r="L167" s="49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3"/>
      <c r="L168" s="49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3"/>
      <c r="L169" s="49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3"/>
      <c r="L170" s="49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3"/>
      <c r="L171" s="49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3"/>
      <c r="L172" s="49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3"/>
      <c r="L173" s="49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3"/>
      <c r="L174" s="49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3"/>
      <c r="L175" s="49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3"/>
      <c r="L176" s="49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3"/>
      <c r="L177" s="49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3"/>
      <c r="L178" s="49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3"/>
      <c r="L179" s="49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3"/>
      <c r="L180" s="49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3"/>
      <c r="L181" s="49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3"/>
      <c r="L182" s="49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3"/>
      <c r="L183" s="49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3"/>
      <c r="L184" s="49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3"/>
      <c r="L185" s="49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3"/>
      <c r="L186" s="49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3"/>
      <c r="L187" s="49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3"/>
      <c r="L188" s="49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3"/>
      <c r="L189" s="49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3"/>
      <c r="L190" s="49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3"/>
      <c r="L191" s="49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3"/>
      <c r="L192" s="49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3"/>
      <c r="L193" s="49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3"/>
      <c r="L194" s="49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3"/>
      <c r="L195" s="49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3"/>
      <c r="L196" s="49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3"/>
      <c r="L197" s="49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3"/>
      <c r="L198" s="49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3"/>
      <c r="L199" s="49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3"/>
      <c r="L200" s="49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3"/>
      <c r="L201" s="49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3"/>
      <c r="L202" s="49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3"/>
      <c r="L203" s="49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3"/>
      <c r="L204" s="49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3"/>
      <c r="L205" s="49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3"/>
      <c r="L206" s="49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3"/>
      <c r="L207" s="49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3"/>
      <c r="L208" s="49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3"/>
      <c r="L209" s="49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3"/>
      <c r="L210" s="49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3"/>
      <c r="L211" s="49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3"/>
      <c r="L212" s="49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3"/>
      <c r="L213" s="49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3"/>
      <c r="L214" s="49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3"/>
      <c r="L215" s="49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3"/>
      <c r="L216" s="49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3"/>
      <c r="L217" s="49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3"/>
      <c r="L218" s="49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3"/>
      <c r="L219" s="49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3"/>
      <c r="L220" s="49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3"/>
      <c r="L221" s="49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3"/>
      <c r="L222" s="49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3"/>
      <c r="L223" s="49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3"/>
      <c r="L224" s="49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3"/>
      <c r="L225" s="49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3"/>
      <c r="L226" s="49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3"/>
      <c r="L227" s="49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3"/>
      <c r="L228" s="49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3"/>
      <c r="L229" s="49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3"/>
      <c r="L230" s="49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3"/>
      <c r="L231" s="49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3"/>
      <c r="L232" s="49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3"/>
      <c r="L233" s="49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3"/>
      <c r="L234" s="49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3"/>
      <c r="L235" s="49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3"/>
      <c r="L236" s="49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3"/>
      <c r="L237" s="49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3"/>
      <c r="L238" s="49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3"/>
      <c r="L239" s="49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3"/>
      <c r="L240" s="49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3"/>
      <c r="L241" s="49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3"/>
      <c r="L242" s="49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3"/>
      <c r="L243" s="49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3"/>
      <c r="L244" s="49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3"/>
      <c r="L245" s="49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3"/>
      <c r="L246" s="49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3"/>
      <c r="L247" s="49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3"/>
      <c r="L248" s="49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3"/>
      <c r="L249" s="49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3"/>
      <c r="L250" s="49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3"/>
      <c r="L251" s="49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3"/>
      <c r="L252" s="49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3"/>
      <c r="L253" s="49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3"/>
      <c r="L254" s="49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3"/>
      <c r="L255" s="49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3"/>
      <c r="L256" s="49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3"/>
      <c r="L257" s="49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3"/>
      <c r="L258" s="49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3"/>
      <c r="L259" s="49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3"/>
      <c r="L260" s="49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3"/>
      <c r="L261" s="49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3"/>
      <c r="L262" s="49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3"/>
      <c r="L263" s="49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3"/>
      <c r="L264" s="49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3"/>
      <c r="L265" s="49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3"/>
      <c r="L266" s="49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3"/>
      <c r="L267" s="49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3"/>
      <c r="L268" s="49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3"/>
      <c r="L269" s="49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3"/>
      <c r="L270" s="49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3"/>
      <c r="L271" s="49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3"/>
      <c r="L272" s="49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3"/>
      <c r="L273" s="49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3"/>
      <c r="L274" s="49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3"/>
      <c r="L275" s="49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3"/>
      <c r="L276" s="49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3"/>
      <c r="L277" s="49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3"/>
      <c r="L278" s="49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3"/>
      <c r="L279" s="49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3"/>
      <c r="L280" s="49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3"/>
      <c r="L281" s="49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3"/>
      <c r="L282" s="49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3"/>
      <c r="L283" s="49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3"/>
      <c r="L284" s="49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3"/>
      <c r="L285" s="49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3"/>
      <c r="L286" s="49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3"/>
      <c r="L287" s="49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3"/>
      <c r="L288" s="49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3"/>
      <c r="L289" s="49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3"/>
      <c r="L290" s="49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3"/>
      <c r="L291" s="49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3"/>
      <c r="L292" s="49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3"/>
      <c r="L293" s="49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3"/>
      <c r="L294" s="49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3"/>
      <c r="L295" s="49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3"/>
      <c r="L296" s="49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3"/>
      <c r="L297" s="49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3"/>
      <c r="L298" s="49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3"/>
      <c r="L299" s="49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3"/>
      <c r="L300" s="49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3"/>
      <c r="L301" s="49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3"/>
      <c r="L302" s="49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3"/>
      <c r="L303" s="49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3"/>
      <c r="L304" s="49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3"/>
      <c r="L305" s="49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3"/>
      <c r="L306" s="49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3"/>
      <c r="L307" s="49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3"/>
      <c r="L308" s="49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3"/>
      <c r="L309" s="49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3"/>
      <c r="L310" s="49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3"/>
      <c r="L311" s="49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3"/>
      <c r="L312" s="49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3"/>
      <c r="L313" s="49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3"/>
      <c r="L314" s="49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3"/>
      <c r="L315" s="49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3"/>
      <c r="L316" s="49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3"/>
      <c r="L317" s="49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3"/>
      <c r="L318" s="49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3"/>
      <c r="L319" s="49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3"/>
      <c r="L320" s="49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3"/>
      <c r="L321" s="49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3"/>
      <c r="L322" s="49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3"/>
      <c r="L323" s="49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3"/>
      <c r="L324" s="49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3"/>
      <c r="L325" s="49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3"/>
      <c r="L326" s="49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3"/>
      <c r="L327" s="49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3"/>
      <c r="L328" s="49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3"/>
      <c r="L329" s="49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3"/>
      <c r="L330" s="49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3"/>
      <c r="L331" s="49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3"/>
      <c r="L332" s="49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3"/>
      <c r="L333" s="49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3"/>
      <c r="L334" s="49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3"/>
      <c r="L335" s="49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3"/>
      <c r="L336" s="49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3"/>
      <c r="L337" s="49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3"/>
      <c r="L338" s="49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3"/>
      <c r="L339" s="49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3"/>
      <c r="L340" s="49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3"/>
      <c r="L341" s="49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3"/>
      <c r="L342" s="49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3"/>
      <c r="L343" s="49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3"/>
      <c r="L344" s="49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3"/>
      <c r="L345" s="49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3"/>
      <c r="L346" s="49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3"/>
      <c r="L347" s="49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3"/>
      <c r="L348" s="49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3"/>
      <c r="L349" s="49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3"/>
      <c r="L350" s="49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3"/>
      <c r="L351" s="49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3"/>
      <c r="L352" s="49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3"/>
      <c r="L353" s="49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3"/>
      <c r="L354" s="49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3"/>
      <c r="L355" s="49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3"/>
      <c r="L356" s="49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3"/>
      <c r="L357" s="49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3"/>
      <c r="L358" s="49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3"/>
      <c r="L359" s="49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3"/>
      <c r="L360" s="49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3"/>
      <c r="L361" s="49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3"/>
      <c r="L362" s="49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3"/>
      <c r="L363" s="49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3"/>
      <c r="L364" s="49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3"/>
      <c r="L365" s="49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3"/>
      <c r="L366" s="49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3"/>
      <c r="L367" s="49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3"/>
      <c r="L368" s="49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3"/>
      <c r="L369" s="49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3"/>
      <c r="L370" s="49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3"/>
      <c r="L371" s="49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3"/>
      <c r="L372" s="49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3"/>
      <c r="L373" s="49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3"/>
      <c r="L374" s="49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3"/>
      <c r="L375" s="49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3"/>
      <c r="L376" s="49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3"/>
      <c r="L377" s="49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3"/>
      <c r="L378" s="49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3"/>
      <c r="L379" s="49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3"/>
      <c r="L380" s="49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3"/>
      <c r="L381" s="49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3"/>
      <c r="L382" s="49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3"/>
      <c r="L383" s="49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3"/>
      <c r="L384" s="49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3"/>
      <c r="L385" s="49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3"/>
      <c r="L386" s="49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3"/>
      <c r="L387" s="49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3"/>
      <c r="L388" s="49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3"/>
      <c r="L389" s="49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3"/>
      <c r="L390" s="49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3"/>
      <c r="L391" s="49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3"/>
      <c r="L392" s="49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3"/>
      <c r="L393" s="49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3"/>
      <c r="L394" s="49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3"/>
      <c r="L395" s="49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3"/>
      <c r="L396" s="49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3"/>
      <c r="L397" s="49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3"/>
      <c r="L398" s="49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3"/>
      <c r="L399" s="49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3"/>
      <c r="L400" s="49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3"/>
      <c r="L401" s="49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3"/>
      <c r="L402" s="49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3"/>
      <c r="L403" s="49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3"/>
      <c r="L404" s="49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3"/>
      <c r="L405" s="49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3"/>
      <c r="L406" s="49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3"/>
      <c r="L407" s="49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3"/>
      <c r="L408" s="49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3"/>
      <c r="L409" s="49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3"/>
      <c r="L410" s="49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3"/>
      <c r="L411" s="49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3"/>
      <c r="L412" s="49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3"/>
      <c r="L413" s="49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3"/>
      <c r="L414" s="49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3"/>
      <c r="L415" s="49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3"/>
      <c r="L416" s="49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3"/>
      <c r="L417" s="49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3"/>
      <c r="L418" s="49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3"/>
      <c r="L419" s="49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3"/>
      <c r="L420" s="49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3"/>
      <c r="L421" s="49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3"/>
      <c r="L422" s="49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3"/>
      <c r="L423" s="49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3"/>
      <c r="L424" s="49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3"/>
      <c r="L425" s="49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3"/>
      <c r="L426" s="49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3"/>
      <c r="L427" s="49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3"/>
      <c r="L428" s="49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3"/>
      <c r="L429" s="49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3"/>
      <c r="L430" s="49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3"/>
      <c r="L431" s="49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3"/>
      <c r="L432" s="49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3"/>
      <c r="L433" s="49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3"/>
      <c r="L434" s="49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3"/>
      <c r="L435" s="49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3"/>
      <c r="L436" s="49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3"/>
      <c r="L437" s="49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3"/>
      <c r="L438" s="49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3"/>
      <c r="L439" s="49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3"/>
      <c r="L440" s="49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3"/>
      <c r="L441" s="49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3"/>
      <c r="L442" s="49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3"/>
      <c r="L443" s="49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3"/>
      <c r="L444" s="49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3"/>
      <c r="L445" s="49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3"/>
      <c r="L446" s="49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3"/>
      <c r="L447" s="49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3"/>
      <c r="L448" s="49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3"/>
      <c r="L449" s="49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3"/>
      <c r="L450" s="49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3"/>
      <c r="L451" s="49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3"/>
      <c r="L452" s="49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3"/>
      <c r="L453" s="49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3"/>
      <c r="L454" s="49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3"/>
      <c r="L455" s="49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3"/>
      <c r="L456" s="49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3"/>
      <c r="L457" s="49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3"/>
      <c r="L458" s="49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3"/>
      <c r="L459" s="49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3"/>
      <c r="L460" s="49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3"/>
      <c r="L461" s="49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3"/>
      <c r="L462" s="49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3"/>
      <c r="L463" s="49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3"/>
      <c r="L464" s="49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3"/>
      <c r="L465" s="49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3"/>
      <c r="L466" s="49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3"/>
      <c r="L467" s="49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3"/>
      <c r="L468" s="49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3"/>
      <c r="L469" s="49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3"/>
      <c r="L470" s="49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3"/>
      <c r="L471" s="49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3"/>
      <c r="L472" s="49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3"/>
      <c r="L473" s="49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3"/>
      <c r="L474" s="49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3"/>
      <c r="L475" s="49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3"/>
      <c r="L476" s="49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3"/>
      <c r="L477" s="49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3"/>
      <c r="L478" s="49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3"/>
      <c r="L479" s="49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3"/>
      <c r="L480" s="49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3"/>
      <c r="L481" s="49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3"/>
      <c r="L482" s="49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3"/>
      <c r="L483" s="49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3"/>
      <c r="L484" s="49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3"/>
      <c r="L485" s="49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3"/>
      <c r="L486" s="49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3"/>
      <c r="L487" s="49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3"/>
      <c r="L488" s="49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3"/>
      <c r="L489" s="49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3"/>
      <c r="L490" s="49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3"/>
      <c r="L491" s="49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3"/>
      <c r="L492" s="49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3"/>
      <c r="L493" s="49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3"/>
      <c r="L494" s="49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3"/>
      <c r="L495" s="49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3"/>
      <c r="L496" s="49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3"/>
      <c r="L497" s="49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3"/>
      <c r="L498" s="49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3"/>
      <c r="L499" s="49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3"/>
      <c r="L500" s="49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3"/>
      <c r="L501" s="49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3"/>
      <c r="L502" s="49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3"/>
      <c r="L503" s="49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3"/>
      <c r="L504" s="49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3"/>
      <c r="L505" s="49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3"/>
      <c r="L506" s="49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3"/>
      <c r="L507" s="49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3"/>
      <c r="L508" s="49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3"/>
      <c r="L509" s="49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3"/>
      <c r="L510" s="49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3"/>
      <c r="L511" s="49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3"/>
      <c r="L512" s="49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3"/>
      <c r="L513" s="49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3"/>
      <c r="L514" s="49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3"/>
      <c r="L515" s="49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3"/>
      <c r="L516" s="49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3"/>
      <c r="L517" s="49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3"/>
      <c r="L518" s="49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3"/>
      <c r="L519" s="49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3"/>
      <c r="L520" s="49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3"/>
      <c r="L521" s="49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3"/>
      <c r="L522" s="49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3"/>
      <c r="L523" s="49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3"/>
      <c r="L524" s="49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3"/>
      <c r="L525" s="49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3"/>
      <c r="L526" s="49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3"/>
      <c r="L527" s="49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3"/>
      <c r="L528" s="49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3"/>
      <c r="L529" s="49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3"/>
      <c r="L530" s="49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3"/>
      <c r="L531" s="49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3"/>
      <c r="L532" s="49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3"/>
      <c r="L533" s="49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3"/>
      <c r="L534" s="49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3"/>
      <c r="L535" s="49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3"/>
      <c r="L536" s="49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3"/>
      <c r="L537" s="49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3"/>
      <c r="L538" s="49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3"/>
      <c r="L539" s="49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3"/>
      <c r="L540" s="49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3"/>
      <c r="L541" s="49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3"/>
      <c r="L542" s="49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3"/>
      <c r="L543" s="49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3"/>
      <c r="L544" s="49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3"/>
      <c r="L545" s="49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3"/>
      <c r="L546" s="49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3"/>
      <c r="L547" s="49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3"/>
      <c r="L548" s="49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3"/>
      <c r="L549" s="49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3"/>
      <c r="L550" s="49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3"/>
      <c r="L551" s="49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3"/>
      <c r="L552" s="49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3"/>
      <c r="L553" s="49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3"/>
      <c r="L554" s="49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3"/>
      <c r="L555" s="49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3"/>
      <c r="L556" s="49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3"/>
      <c r="L557" s="49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3"/>
      <c r="L558" s="49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3"/>
      <c r="L559" s="49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3"/>
      <c r="L560" s="49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3"/>
      <c r="L561" s="49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3"/>
      <c r="L562" s="49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3"/>
      <c r="L563" s="49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3"/>
      <c r="L564" s="49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3"/>
      <c r="L565" s="49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3"/>
      <c r="L566" s="49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3"/>
      <c r="L567" s="49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3"/>
      <c r="L568" s="49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3"/>
      <c r="L569" s="49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3"/>
      <c r="L570" s="49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3"/>
      <c r="L571" s="49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3"/>
      <c r="L572" s="49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3"/>
      <c r="L573" s="49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3"/>
      <c r="L574" s="49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3"/>
      <c r="L575" s="49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3"/>
      <c r="L576" s="49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3"/>
      <c r="L577" s="49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3"/>
      <c r="L578" s="49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3"/>
      <c r="L579" s="49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3"/>
      <c r="L580" s="49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3"/>
      <c r="L581" s="49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3"/>
      <c r="L582" s="49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3"/>
      <c r="L583" s="49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3"/>
      <c r="L584" s="49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3"/>
      <c r="L585" s="49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3"/>
      <c r="L586" s="49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3"/>
      <c r="L587" s="49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3"/>
      <c r="L588" s="49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3"/>
      <c r="L589" s="49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3"/>
      <c r="L590" s="49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3"/>
      <c r="L591" s="49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3"/>
      <c r="L592" s="49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3"/>
      <c r="L593" s="49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3"/>
      <c r="L594" s="49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3"/>
      <c r="L595" s="49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3"/>
      <c r="L596" s="49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3"/>
      <c r="L597" s="49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3"/>
      <c r="L598" s="49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3"/>
      <c r="L599" s="49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3"/>
      <c r="L600" s="49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3"/>
      <c r="L601" s="49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3"/>
      <c r="L602" s="49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3"/>
      <c r="L603" s="49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3"/>
      <c r="L604" s="49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3"/>
      <c r="L605" s="49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3"/>
      <c r="L606" s="49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3"/>
      <c r="L607" s="49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3"/>
      <c r="L608" s="49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3"/>
      <c r="L609" s="49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3"/>
      <c r="L610" s="49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3"/>
      <c r="L611" s="49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3"/>
      <c r="L612" s="49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3"/>
      <c r="L613" s="49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3"/>
      <c r="L614" s="49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3"/>
      <c r="L615" s="49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3"/>
      <c r="L616" s="49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3"/>
      <c r="L617" s="49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3"/>
      <c r="L618" s="49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3"/>
      <c r="L619" s="49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3"/>
      <c r="L620" s="49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3"/>
      <c r="L621" s="49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3"/>
      <c r="L622" s="49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3"/>
      <c r="L623" s="49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3"/>
      <c r="L624" s="49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3"/>
      <c r="L625" s="49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3"/>
      <c r="L626" s="49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3"/>
      <c r="L627" s="49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3"/>
      <c r="L628" s="49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3"/>
      <c r="L629" s="49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3"/>
      <c r="L630" s="49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3"/>
      <c r="L631" s="49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3"/>
      <c r="L632" s="49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3"/>
      <c r="L633" s="49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3"/>
      <c r="L634" s="49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3"/>
      <c r="L635" s="49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3"/>
      <c r="L636" s="49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3"/>
      <c r="L637" s="49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3"/>
      <c r="L638" s="49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3"/>
      <c r="L639" s="49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3"/>
      <c r="L640" s="49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3"/>
      <c r="L641" s="49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3"/>
      <c r="L642" s="49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3"/>
      <c r="L643" s="49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3"/>
      <c r="L644" s="49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3"/>
      <c r="L645" s="49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3"/>
      <c r="L646" s="49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3"/>
      <c r="L647" s="49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3"/>
      <c r="L648" s="49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3"/>
      <c r="L649" s="49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3"/>
      <c r="L650" s="49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3"/>
      <c r="L651" s="49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3"/>
      <c r="L652" s="49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3"/>
      <c r="L653" s="49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3"/>
      <c r="L654" s="49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3"/>
      <c r="L655" s="49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3"/>
      <c r="L656" s="49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3"/>
      <c r="L657" s="49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3"/>
      <c r="L658" s="49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3"/>
      <c r="L659" s="49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3"/>
      <c r="L660" s="49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3"/>
      <c r="L661" s="49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3"/>
      <c r="L662" s="49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3"/>
      <c r="L663" s="49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3"/>
      <c r="L664" s="49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3"/>
      <c r="L665" s="49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3"/>
      <c r="L666" s="49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3"/>
      <c r="L667" s="49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3"/>
      <c r="L668" s="49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3"/>
      <c r="L669" s="49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3"/>
      <c r="L670" s="49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3"/>
      <c r="L671" s="49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3"/>
      <c r="L672" s="49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3"/>
      <c r="L673" s="49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3"/>
      <c r="L674" s="49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3"/>
      <c r="L675" s="49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3"/>
      <c r="L676" s="49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3"/>
      <c r="L677" s="49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3"/>
      <c r="L678" s="49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3"/>
      <c r="L679" s="49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3"/>
      <c r="L680" s="49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3"/>
      <c r="L681" s="49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3"/>
      <c r="L682" s="49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3"/>
      <c r="L683" s="49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3"/>
      <c r="L684" s="49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3"/>
      <c r="L685" s="49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3"/>
      <c r="L686" s="49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3"/>
      <c r="L687" s="49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3"/>
      <c r="L688" s="49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3"/>
      <c r="L689" s="49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3"/>
      <c r="L690" s="49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3"/>
      <c r="L691" s="49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3"/>
      <c r="L692" s="49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3"/>
      <c r="L693" s="49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3"/>
      <c r="L694" s="49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3"/>
      <c r="L695" s="49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3"/>
      <c r="L696" s="49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3"/>
      <c r="L697" s="49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3"/>
      <c r="L698" s="49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3"/>
      <c r="L699" s="49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3"/>
      <c r="L700" s="49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3"/>
      <c r="L701" s="49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3"/>
      <c r="L702" s="49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3"/>
      <c r="L703" s="49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3"/>
      <c r="L704" s="49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3"/>
      <c r="L705" s="49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3"/>
      <c r="L706" s="49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3"/>
      <c r="L707" s="49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3"/>
      <c r="L708" s="49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3"/>
      <c r="L709" s="49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3"/>
      <c r="L710" s="49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3"/>
      <c r="L711" s="49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3"/>
      <c r="L712" s="49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3"/>
      <c r="L713" s="49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3"/>
      <c r="L714" s="49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3"/>
      <c r="L715" s="49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3"/>
      <c r="L716" s="49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3"/>
      <c r="L717" s="49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3"/>
      <c r="L718" s="49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3"/>
      <c r="L719" s="49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3"/>
      <c r="L720" s="49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3"/>
      <c r="L721" s="49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3"/>
      <c r="L722" s="49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3"/>
      <c r="L723" s="49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3"/>
      <c r="L724" s="49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3"/>
      <c r="L725" s="49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3"/>
      <c r="L726" s="49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3"/>
      <c r="L727" s="49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3"/>
      <c r="L728" s="49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3"/>
      <c r="L729" s="49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3"/>
      <c r="L730" s="49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3"/>
      <c r="L731" s="49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3"/>
      <c r="L732" s="49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3"/>
      <c r="L733" s="49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3"/>
      <c r="L734" s="49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3"/>
      <c r="L735" s="49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3"/>
      <c r="L736" s="49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3"/>
      <c r="L737" s="49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3"/>
      <c r="L738" s="49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3"/>
      <c r="L739" s="49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3"/>
      <c r="L740" s="49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3"/>
      <c r="L741" s="49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3"/>
      <c r="L742" s="49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3"/>
      <c r="L743" s="49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3"/>
      <c r="L744" s="49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3"/>
      <c r="L745" s="49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3"/>
      <c r="L746" s="49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3"/>
      <c r="L747" s="49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3"/>
      <c r="L748" s="49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3"/>
      <c r="L749" s="49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3"/>
      <c r="L750" s="49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3"/>
      <c r="L751" s="49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3"/>
      <c r="L752" s="49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3"/>
      <c r="L753" s="49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3"/>
      <c r="L754" s="49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3"/>
      <c r="L755" s="49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3"/>
      <c r="L756" s="49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3"/>
      <c r="L757" s="49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3"/>
      <c r="L758" s="49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3"/>
      <c r="L759" s="49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3"/>
      <c r="L760" s="49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3"/>
      <c r="L761" s="49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3"/>
      <c r="L762" s="49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3"/>
      <c r="L763" s="49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3"/>
      <c r="L764" s="49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3"/>
      <c r="L765" s="49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3"/>
      <c r="L766" s="49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3"/>
      <c r="L767" s="49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3"/>
      <c r="L768" s="49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3"/>
      <c r="L769" s="49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3"/>
      <c r="L770" s="49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3"/>
      <c r="L771" s="49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3"/>
      <c r="L772" s="49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3"/>
      <c r="L773" s="49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3"/>
      <c r="L774" s="49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3"/>
      <c r="L775" s="49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3"/>
      <c r="L776" s="49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3"/>
      <c r="L777" s="49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3"/>
      <c r="L778" s="49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3"/>
      <c r="L779" s="49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3"/>
      <c r="L780" s="49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3"/>
      <c r="L781" s="49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3"/>
      <c r="L782" s="49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3"/>
      <c r="L783" s="49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3"/>
      <c r="L784" s="49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3"/>
      <c r="L785" s="49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3"/>
      <c r="L786" s="49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3"/>
      <c r="L787" s="49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3"/>
      <c r="L788" s="49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3"/>
      <c r="L789" s="49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3"/>
      <c r="L790" s="49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3"/>
      <c r="L791" s="49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3"/>
      <c r="L792" s="49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3"/>
      <c r="L793" s="49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3"/>
      <c r="L794" s="49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3"/>
      <c r="L795" s="49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3"/>
      <c r="L796" s="49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3"/>
      <c r="L797" s="49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3"/>
      <c r="L798" s="49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3"/>
      <c r="L799" s="49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3"/>
      <c r="L800" s="49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3"/>
      <c r="L801" s="49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3"/>
      <c r="L802" s="49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3"/>
      <c r="L803" s="49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3"/>
      <c r="L804" s="49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3"/>
      <c r="L805" s="49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3"/>
      <c r="L806" s="49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3"/>
      <c r="L807" s="49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3"/>
      <c r="L808" s="49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3"/>
      <c r="L809" s="49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3"/>
      <c r="L810" s="49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3"/>
      <c r="L811" s="49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3"/>
      <c r="L812" s="49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3"/>
      <c r="L813" s="49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3"/>
      <c r="L814" s="49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3"/>
      <c r="L815" s="49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3"/>
      <c r="L816" s="49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3"/>
      <c r="L817" s="49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3"/>
      <c r="L818" s="49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3"/>
      <c r="L819" s="49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3"/>
      <c r="L820" s="49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3"/>
      <c r="L821" s="49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3"/>
      <c r="L822" s="49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3"/>
      <c r="L823" s="49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3"/>
      <c r="L824" s="49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3"/>
      <c r="L825" s="49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3"/>
      <c r="L826" s="49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3"/>
      <c r="L827" s="49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3"/>
      <c r="L828" s="49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3"/>
      <c r="L829" s="49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3"/>
      <c r="L830" s="49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3"/>
      <c r="L831" s="49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3"/>
      <c r="L832" s="49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3"/>
      <c r="L833" s="49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3"/>
      <c r="L834" s="49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3"/>
      <c r="L835" s="49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3"/>
      <c r="L836" s="49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3"/>
      <c r="L837" s="49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3"/>
      <c r="L838" s="49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3"/>
      <c r="L839" s="49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3"/>
      <c r="L840" s="49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3"/>
      <c r="L841" s="49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3"/>
      <c r="L842" s="49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3"/>
      <c r="L843" s="49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3"/>
      <c r="L844" s="49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3"/>
      <c r="L845" s="49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3"/>
      <c r="L846" s="49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3"/>
      <c r="L847" s="49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3"/>
      <c r="L848" s="49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3"/>
      <c r="L849" s="49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3"/>
      <c r="L850" s="49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3"/>
      <c r="L851" s="49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3"/>
      <c r="L852" s="49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3"/>
      <c r="L853" s="49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3"/>
      <c r="L854" s="49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3"/>
      <c r="L855" s="49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3"/>
      <c r="L856" s="49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3"/>
      <c r="L857" s="49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3"/>
      <c r="L858" s="49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3"/>
      <c r="L859" s="49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3"/>
      <c r="L860" s="49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3"/>
      <c r="L861" s="49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3"/>
      <c r="L862" s="49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3"/>
      <c r="L863" s="49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3"/>
      <c r="L864" s="49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3"/>
      <c r="L865" s="49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3"/>
      <c r="L866" s="49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3"/>
      <c r="L867" s="49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3"/>
      <c r="L868" s="49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3"/>
      <c r="L869" s="49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3"/>
      <c r="L870" s="49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3"/>
      <c r="L871" s="49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3"/>
      <c r="L872" s="49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3"/>
      <c r="L873" s="49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3"/>
      <c r="L874" s="49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3"/>
      <c r="L875" s="49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3"/>
      <c r="L876" s="49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3"/>
      <c r="L877" s="49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3"/>
      <c r="L878" s="49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3"/>
      <c r="L879" s="49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3"/>
      <c r="L880" s="49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3"/>
      <c r="L881" s="49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3"/>
      <c r="L882" s="49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3"/>
      <c r="L883" s="49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3"/>
      <c r="L884" s="49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3"/>
      <c r="L885" s="49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3"/>
      <c r="L886" s="49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3"/>
      <c r="L887" s="49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3"/>
      <c r="L888" s="49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3"/>
      <c r="L889" s="49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3"/>
      <c r="L890" s="49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3"/>
      <c r="L891" s="49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3"/>
      <c r="L892" s="49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3"/>
      <c r="L893" s="49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3"/>
      <c r="L894" s="49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3"/>
      <c r="L895" s="49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3"/>
      <c r="L896" s="49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3"/>
      <c r="L897" s="49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3"/>
      <c r="L898" s="49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3"/>
      <c r="L899" s="49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3"/>
      <c r="L900" s="49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3"/>
      <c r="L901" s="49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3"/>
      <c r="L902" s="49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3"/>
      <c r="L903" s="49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3"/>
      <c r="L904" s="49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3"/>
      <c r="L905" s="49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3"/>
      <c r="L906" s="49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3"/>
      <c r="L907" s="49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3"/>
      <c r="L908" s="49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3"/>
      <c r="L909" s="49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3"/>
      <c r="L910" s="49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3"/>
      <c r="L911" s="49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3"/>
      <c r="L912" s="49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3"/>
      <c r="L913" s="49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3"/>
      <c r="L914" s="49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3"/>
      <c r="L915" s="49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3"/>
      <c r="L916" s="49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3"/>
      <c r="L917" s="49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3"/>
      <c r="L918" s="49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3"/>
      <c r="L919" s="49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3"/>
      <c r="L920" s="49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3"/>
      <c r="L921" s="49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3"/>
      <c r="L922" s="49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3"/>
      <c r="L923" s="49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3"/>
      <c r="L924" s="49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3"/>
      <c r="L925" s="49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3"/>
      <c r="L926" s="49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3"/>
      <c r="L927" s="49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3"/>
      <c r="L928" s="49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3"/>
      <c r="L929" s="49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3"/>
      <c r="L930" s="49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3"/>
      <c r="L931" s="49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3"/>
      <c r="L932" s="49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3"/>
      <c r="L933" s="49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3"/>
      <c r="L934" s="49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3"/>
      <c r="L935" s="49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3"/>
      <c r="L936" s="49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3"/>
      <c r="L937" s="49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3"/>
      <c r="L938" s="49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3"/>
      <c r="L939" s="49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3"/>
      <c r="L940" s="49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3"/>
      <c r="L941" s="49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3"/>
      <c r="L942" s="49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3"/>
      <c r="L943" s="49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3"/>
      <c r="L944" s="49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3"/>
      <c r="L945" s="49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3"/>
      <c r="L946" s="49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3"/>
      <c r="L947" s="49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3"/>
      <c r="L948" s="49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3"/>
      <c r="L949" s="49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3"/>
      <c r="L950" s="49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3"/>
      <c r="L951" s="49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3"/>
      <c r="L952" s="49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3"/>
      <c r="L953" s="49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3"/>
      <c r="L954" s="49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3"/>
      <c r="L955" s="49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3"/>
      <c r="L956" s="49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3"/>
      <c r="L957" s="49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3"/>
      <c r="L958" s="49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3"/>
      <c r="L959" s="49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3"/>
      <c r="L960" s="49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3"/>
      <c r="L961" s="49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3"/>
      <c r="L962" s="49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3"/>
      <c r="L963" s="49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3"/>
      <c r="L964" s="49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3"/>
      <c r="L965" s="49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3"/>
      <c r="L966" s="49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3"/>
      <c r="L967" s="49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3"/>
      <c r="L968" s="49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3"/>
      <c r="L969" s="49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3"/>
      <c r="L970" s="49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3"/>
      <c r="L971" s="49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3"/>
      <c r="L972" s="49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3"/>
      <c r="L973" s="49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3"/>
      <c r="L974" s="49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3"/>
      <c r="L975" s="49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3"/>
      <c r="L976" s="49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3"/>
      <c r="L977" s="49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3"/>
      <c r="L978" s="49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3"/>
      <c r="L979" s="49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3"/>
      <c r="L980" s="49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3"/>
      <c r="L981" s="49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3"/>
      <c r="L982" s="49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3"/>
      <c r="L983" s="49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3"/>
      <c r="L984" s="49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3"/>
      <c r="L985" s="49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3"/>
      <c r="L986" s="49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3"/>
      <c r="L987" s="49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3"/>
      <c r="L988" s="49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3"/>
      <c r="L989" s="49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3"/>
      <c r="L990" s="49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3"/>
      <c r="L991" s="49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3"/>
      <c r="L992" s="49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3"/>
      <c r="L993" s="49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3"/>
      <c r="L994" s="49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3"/>
      <c r="L995" s="49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3"/>
      <c r="L996" s="49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3"/>
      <c r="L997" s="49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3"/>
      <c r="L998" s="49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3"/>
      <c r="L999" s="49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3"/>
      <c r="L1000" s="49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3"/>
      <c r="L1001" s="49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3"/>
      <c r="L1002" s="49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</sheetData>
  <mergeCells count="5">
    <mergeCell ref="A2:A3"/>
    <mergeCell ref="B2:D2"/>
    <mergeCell ref="E2:G2"/>
    <mergeCell ref="H2:J2"/>
    <mergeCell ref="K2:K3"/>
  </mergeCells>
  <hyperlinks>
    <hyperlink r:id="rId1" ref="K5"/>
    <hyperlink r:id="rId2" ref="K6"/>
    <hyperlink r:id="rId3" ref="K7"/>
    <hyperlink r:id="rId4" ref="K9"/>
  </hyperlinks>
  <drawing r:id="rId5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39.88"/>
    <col customWidth="1" min="2" max="2" width="17.88"/>
    <col customWidth="1" min="3" max="3" width="18.75"/>
    <col customWidth="1" min="4" max="5" width="18.0"/>
    <col customWidth="1" min="6" max="6" width="18.75"/>
    <col customWidth="1" min="7" max="8" width="18.0"/>
    <col customWidth="1" min="9" max="9" width="18.75"/>
    <col customWidth="1" min="10" max="10" width="21.38"/>
    <col customWidth="1" min="11" max="11" width="40.38"/>
    <col customWidth="1" min="12" max="12" width="23.5"/>
    <col customWidth="1" min="13" max="13" width="16.75"/>
    <col customWidth="1" min="14" max="14" width="10.63"/>
    <col customWidth="1" min="15" max="28" width="8.6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34.5" customHeight="1">
      <c r="A2" s="5" t="s">
        <v>0</v>
      </c>
      <c r="B2" s="6" t="s">
        <v>1</v>
      </c>
      <c r="C2" s="7"/>
      <c r="D2" s="8"/>
      <c r="E2" s="6" t="s">
        <v>43</v>
      </c>
      <c r="F2" s="7"/>
      <c r="G2" s="8"/>
      <c r="H2" s="9" t="s">
        <v>44</v>
      </c>
      <c r="I2" s="7"/>
      <c r="J2" s="8"/>
      <c r="K2" s="10" t="s">
        <v>4</v>
      </c>
      <c r="L2" s="51" t="s">
        <v>45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28.5" customHeight="1">
      <c r="A3" s="12"/>
      <c r="B3" s="13" t="s">
        <v>5</v>
      </c>
      <c r="C3" s="14" t="s">
        <v>6</v>
      </c>
      <c r="D3" s="15" t="s">
        <v>7</v>
      </c>
      <c r="E3" s="13" t="s">
        <v>5</v>
      </c>
      <c r="F3" s="14" t="s">
        <v>6</v>
      </c>
      <c r="G3" s="15" t="s">
        <v>7</v>
      </c>
      <c r="H3" s="13" t="s">
        <v>5</v>
      </c>
      <c r="I3" s="14" t="s">
        <v>6</v>
      </c>
      <c r="J3" s="15" t="s">
        <v>7</v>
      </c>
      <c r="K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>
      <c r="A4" s="16" t="s">
        <v>8</v>
      </c>
      <c r="B4" s="17">
        <v>0.0</v>
      </c>
      <c r="C4" s="18">
        <v>3.0E9</v>
      </c>
      <c r="D4" s="18">
        <f t="shared" ref="D4:D16" si="1">SUM(B4:C4)</f>
        <v>3000000000</v>
      </c>
      <c r="E4" s="19">
        <v>0.0</v>
      </c>
      <c r="F4" s="20">
        <v>3.0E9</v>
      </c>
      <c r="G4" s="18">
        <f t="shared" ref="G4:G5" si="2">SUM(E4:F4)</f>
        <v>3000000000</v>
      </c>
      <c r="H4" s="21"/>
      <c r="I4" s="22">
        <f>1766210022.45+1693108143.42</f>
        <v>3459318166</v>
      </c>
      <c r="J4" s="22">
        <f t="shared" ref="J4:J5" si="3">SUM(H4:I4)</f>
        <v>3459318166</v>
      </c>
      <c r="K4" s="23" t="s">
        <v>9</v>
      </c>
      <c r="L4" s="52"/>
      <c r="M4" s="53"/>
      <c r="N4" s="5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>
      <c r="A5" s="24" t="s">
        <v>10</v>
      </c>
      <c r="B5" s="25">
        <v>0.0</v>
      </c>
      <c r="C5" s="26">
        <v>4.4E9</v>
      </c>
      <c r="D5" s="26">
        <f t="shared" si="1"/>
        <v>4400000000</v>
      </c>
      <c r="E5" s="27">
        <v>0.0</v>
      </c>
      <c r="F5" s="28">
        <v>4.4E9</v>
      </c>
      <c r="G5" s="28">
        <f t="shared" si="2"/>
        <v>4400000000</v>
      </c>
      <c r="H5" s="28">
        <v>0.0</v>
      </c>
      <c r="I5" s="28">
        <f>2000000000+282312603.74+2325834136.37+8387.5+1125000000</f>
        <v>5733155128</v>
      </c>
      <c r="J5" s="28">
        <f t="shared" si="3"/>
        <v>5733155128</v>
      </c>
      <c r="K5" s="54" t="s">
        <v>46</v>
      </c>
      <c r="L5" s="52"/>
      <c r="M5" s="53"/>
      <c r="N5" s="53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>
      <c r="A6" s="24" t="s">
        <v>12</v>
      </c>
      <c r="B6" s="30">
        <v>2.375E9</v>
      </c>
      <c r="C6" s="31">
        <v>1.25E8</v>
      </c>
      <c r="D6" s="31">
        <f t="shared" si="1"/>
        <v>2500000000</v>
      </c>
      <c r="E6" s="32">
        <v>7.0271887622E8</v>
      </c>
      <c r="F6" s="32" t="s">
        <v>13</v>
      </c>
      <c r="G6" s="32">
        <v>2.5E9</v>
      </c>
      <c r="H6" s="32">
        <f>1257151961.85</f>
        <v>1257151962</v>
      </c>
      <c r="I6" s="32" t="s">
        <v>47</v>
      </c>
      <c r="J6" s="32">
        <f>H6+1894576684.61</f>
        <v>3151728646</v>
      </c>
      <c r="K6" s="32" t="s">
        <v>48</v>
      </c>
      <c r="L6" s="52" t="s">
        <v>49</v>
      </c>
      <c r="M6" s="53"/>
      <c r="N6" s="53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>
      <c r="A7" s="35" t="s">
        <v>16</v>
      </c>
      <c r="B7" s="30">
        <v>1.5E9</v>
      </c>
      <c r="C7" s="25">
        <v>0.0</v>
      </c>
      <c r="D7" s="26">
        <f t="shared" si="1"/>
        <v>1500000000</v>
      </c>
      <c r="E7" s="32">
        <v>7.6673987501E8</v>
      </c>
      <c r="F7" s="32" t="s">
        <v>17</v>
      </c>
      <c r="G7" s="26">
        <v>1.5E9</v>
      </c>
      <c r="H7" s="25">
        <v>1.11234013245E9</v>
      </c>
      <c r="I7" s="32" t="s">
        <v>50</v>
      </c>
      <c r="J7" s="26">
        <f>H7+778697055.42</f>
        <v>1891037188</v>
      </c>
      <c r="K7" s="55" t="s">
        <v>51</v>
      </c>
      <c r="L7" s="52" t="s">
        <v>49</v>
      </c>
      <c r="M7" s="56" t="s">
        <v>52</v>
      </c>
      <c r="N7" s="53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>
      <c r="A8" s="35" t="s">
        <v>20</v>
      </c>
      <c r="B8" s="25">
        <v>5.0E9</v>
      </c>
      <c r="C8" s="25">
        <v>0.0</v>
      </c>
      <c r="D8" s="26">
        <f t="shared" si="1"/>
        <v>5000000000</v>
      </c>
      <c r="E8" s="25">
        <v>5.0E9</v>
      </c>
      <c r="F8" s="25">
        <v>0.0</v>
      </c>
      <c r="G8" s="26">
        <f t="shared" ref="G8:G16" si="4">SUM(E8:F8)</f>
        <v>5000000000</v>
      </c>
      <c r="H8" s="25">
        <v>5.0E9</v>
      </c>
      <c r="I8" s="25">
        <v>0.0</v>
      </c>
      <c r="J8" s="26">
        <f t="shared" ref="J8:J16" si="5">SUM(H8:I8)</f>
        <v>5000000000</v>
      </c>
      <c r="K8" s="55" t="s">
        <v>21</v>
      </c>
      <c r="L8" s="52"/>
      <c r="M8" s="53"/>
      <c r="N8" s="53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>
      <c r="A9" s="35" t="s">
        <v>22</v>
      </c>
      <c r="B9" s="25">
        <v>1.55E9</v>
      </c>
      <c r="C9" s="25">
        <v>0.0</v>
      </c>
      <c r="D9" s="26">
        <f t="shared" si="1"/>
        <v>1550000000</v>
      </c>
      <c r="E9" s="25">
        <f>1550000000-1417001073</f>
        <v>132998927</v>
      </c>
      <c r="F9" s="25">
        <v>1.417001073E9</v>
      </c>
      <c r="G9" s="26">
        <f t="shared" si="4"/>
        <v>1550000000</v>
      </c>
      <c r="H9" s="25">
        <v>1.32998927E8</v>
      </c>
      <c r="I9" s="25">
        <f>(1417001073-170000000-400000000)+211773067.2+503338675.12</f>
        <v>1562112815</v>
      </c>
      <c r="J9" s="26">
        <f t="shared" si="5"/>
        <v>1695111742</v>
      </c>
      <c r="K9" s="57" t="s">
        <v>53</v>
      </c>
      <c r="L9" s="52"/>
      <c r="M9" s="53"/>
      <c r="N9" s="53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>
      <c r="A10" s="24" t="s">
        <v>24</v>
      </c>
      <c r="B10" s="25">
        <v>0.0</v>
      </c>
      <c r="C10" s="25">
        <v>2.05E9</v>
      </c>
      <c r="D10" s="26">
        <f t="shared" si="1"/>
        <v>2050000000</v>
      </c>
      <c r="E10" s="25">
        <v>0.0</v>
      </c>
      <c r="F10" s="25">
        <v>2.05E9</v>
      </c>
      <c r="G10" s="26">
        <f t="shared" si="4"/>
        <v>2050000000</v>
      </c>
      <c r="H10" s="25">
        <v>0.0</v>
      </c>
      <c r="I10" s="25">
        <v>3.01327422349E9</v>
      </c>
      <c r="J10" s="26">
        <f t="shared" si="5"/>
        <v>3013274223</v>
      </c>
      <c r="K10" s="55" t="s">
        <v>25</v>
      </c>
      <c r="L10" s="52"/>
      <c r="M10" s="53"/>
      <c r="N10" s="53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ht="143.25" customHeight="1">
      <c r="A11" s="24" t="s">
        <v>26</v>
      </c>
      <c r="B11" s="25">
        <v>0.0</v>
      </c>
      <c r="C11" s="25">
        <v>4.95E9</v>
      </c>
      <c r="D11" s="26">
        <f t="shared" si="1"/>
        <v>4950000000</v>
      </c>
      <c r="E11" s="25">
        <v>0.0</v>
      </c>
      <c r="F11" s="25">
        <v>4.95E9</v>
      </c>
      <c r="G11" s="26">
        <f t="shared" si="4"/>
        <v>4950000000</v>
      </c>
      <c r="H11" s="25">
        <v>0.0</v>
      </c>
      <c r="I11" s="25">
        <f>3686399101.15+(5*518269874.82)</f>
        <v>6277748475</v>
      </c>
      <c r="J11" s="26">
        <f t="shared" si="5"/>
        <v>6277748475</v>
      </c>
      <c r="K11" s="55" t="s">
        <v>27</v>
      </c>
      <c r="L11" s="52"/>
      <c r="M11" s="53"/>
      <c r="N11" s="53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>
      <c r="A12" s="24" t="s">
        <v>28</v>
      </c>
      <c r="B12" s="25">
        <v>0.0</v>
      </c>
      <c r="C12" s="25">
        <v>3.65E9</v>
      </c>
      <c r="D12" s="26">
        <f t="shared" si="1"/>
        <v>3650000000</v>
      </c>
      <c r="E12" s="25">
        <v>0.0</v>
      </c>
      <c r="F12" s="25">
        <v>3.65E9</v>
      </c>
      <c r="G12" s="26">
        <f t="shared" si="4"/>
        <v>3650000000</v>
      </c>
      <c r="H12" s="25">
        <v>0.0</v>
      </c>
      <c r="I12" s="25">
        <v>4.572399121E9</v>
      </c>
      <c r="J12" s="26">
        <f t="shared" si="5"/>
        <v>4572399121</v>
      </c>
      <c r="K12" s="55" t="s">
        <v>29</v>
      </c>
      <c r="L12" s="52"/>
      <c r="M12" s="53"/>
      <c r="N12" s="53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>
      <c r="A13" s="24" t="s">
        <v>30</v>
      </c>
      <c r="B13" s="26">
        <v>1.35E8</v>
      </c>
      <c r="C13" s="25">
        <v>0.0</v>
      </c>
      <c r="D13" s="26">
        <f t="shared" si="1"/>
        <v>135000000</v>
      </c>
      <c r="E13" s="25">
        <v>1.35E8</v>
      </c>
      <c r="F13" s="25">
        <v>0.0</v>
      </c>
      <c r="G13" s="26">
        <f t="shared" si="4"/>
        <v>135000000</v>
      </c>
      <c r="H13" s="25">
        <v>1.70193346908306E8</v>
      </c>
      <c r="I13" s="25">
        <v>0.0</v>
      </c>
      <c r="J13" s="26">
        <f t="shared" si="5"/>
        <v>170193346.9</v>
      </c>
      <c r="K13" s="55" t="s">
        <v>54</v>
      </c>
      <c r="L13" s="52"/>
      <c r="M13" s="53"/>
      <c r="N13" s="53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>
      <c r="A14" s="24" t="s">
        <v>32</v>
      </c>
      <c r="B14" s="25">
        <v>0.0</v>
      </c>
      <c r="C14" s="25">
        <v>3.1E8</v>
      </c>
      <c r="D14" s="26">
        <f t="shared" si="1"/>
        <v>310000000</v>
      </c>
      <c r="E14" s="25">
        <v>0.0</v>
      </c>
      <c r="F14" s="25">
        <v>3.1E8</v>
      </c>
      <c r="G14" s="26">
        <f t="shared" si="4"/>
        <v>310000000</v>
      </c>
      <c r="H14" s="25">
        <v>0.0</v>
      </c>
      <c r="I14" s="25">
        <v>4.5030721582E8</v>
      </c>
      <c r="J14" s="26">
        <f t="shared" si="5"/>
        <v>450307215.8</v>
      </c>
      <c r="K14" s="55" t="s">
        <v>29</v>
      </c>
      <c r="L14" s="52"/>
      <c r="M14" s="53"/>
      <c r="N14" s="53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>
      <c r="A15" s="35" t="s">
        <v>33</v>
      </c>
      <c r="B15" s="25">
        <v>6.0E8</v>
      </c>
      <c r="C15" s="25">
        <v>1.0E8</v>
      </c>
      <c r="D15" s="26">
        <f t="shared" si="1"/>
        <v>700000000</v>
      </c>
      <c r="E15" s="25">
        <v>6.0E8</v>
      </c>
      <c r="F15" s="25">
        <v>1.0E8</v>
      </c>
      <c r="G15" s="26">
        <f t="shared" si="4"/>
        <v>700000000</v>
      </c>
      <c r="H15" s="25">
        <v>6.0E8</v>
      </c>
      <c r="I15" s="25">
        <v>1.0E8</v>
      </c>
      <c r="J15" s="26">
        <f t="shared" si="5"/>
        <v>700000000</v>
      </c>
      <c r="K15" s="55" t="s">
        <v>55</v>
      </c>
      <c r="L15" s="52"/>
      <c r="M15" s="53"/>
      <c r="N15" s="53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>
      <c r="A16" s="24" t="s">
        <v>35</v>
      </c>
      <c r="B16" s="26">
        <f>71040828+96619306</f>
        <v>167660134</v>
      </c>
      <c r="C16" s="25">
        <v>0.0</v>
      </c>
      <c r="D16" s="26">
        <f t="shared" si="1"/>
        <v>167660134</v>
      </c>
      <c r="E16" s="26">
        <f>71040828+96619306</f>
        <v>167660134</v>
      </c>
      <c r="F16" s="25">
        <v>0.0</v>
      </c>
      <c r="G16" s="26">
        <f t="shared" si="4"/>
        <v>167660134</v>
      </c>
      <c r="H16" s="26">
        <f>89560565.070054+121807133.808132</f>
        <v>211367698.9</v>
      </c>
      <c r="I16" s="25"/>
      <c r="J16" s="26">
        <f t="shared" si="5"/>
        <v>211367698.9</v>
      </c>
      <c r="K16" s="55" t="s">
        <v>54</v>
      </c>
      <c r="L16" s="52"/>
      <c r="M16" s="53"/>
      <c r="N16" s="53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ht="15.75" customHeight="1">
      <c r="A17" s="38" t="s">
        <v>36</v>
      </c>
      <c r="B17" s="39">
        <f t="shared" ref="B17:E17" si="6">SUM(B4:B16)</f>
        <v>11327660134</v>
      </c>
      <c r="C17" s="39">
        <f t="shared" si="6"/>
        <v>18585000000</v>
      </c>
      <c r="D17" s="39">
        <f t="shared" si="6"/>
        <v>29912660134</v>
      </c>
      <c r="E17" s="39">
        <f t="shared" si="6"/>
        <v>7505117812</v>
      </c>
      <c r="F17" s="39">
        <f>SUM(F4:F16)+1797281123.78+733260124.99</f>
        <v>22407542322</v>
      </c>
      <c r="G17" s="39">
        <f t="shared" ref="G17:H17" si="7">SUM(G4:G16)</f>
        <v>29912660134</v>
      </c>
      <c r="H17" s="39">
        <f t="shared" si="7"/>
        <v>8484052067</v>
      </c>
      <c r="I17" s="39">
        <f>SUM(I4:I16)+1894576684.61+778697055.42</f>
        <v>27841588884</v>
      </c>
      <c r="J17" s="39">
        <f>SUM(J4:J16)</f>
        <v>36325640951</v>
      </c>
      <c r="K17" s="58"/>
      <c r="L17" s="52"/>
      <c r="M17" s="59"/>
      <c r="N17" s="60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</row>
    <row r="18">
      <c r="A18" s="24" t="s">
        <v>37</v>
      </c>
      <c r="B18" s="25">
        <v>0.0</v>
      </c>
      <c r="C18" s="25">
        <v>1.5E9</v>
      </c>
      <c r="D18" s="26">
        <f t="shared" ref="D18:D21" si="8">SUM(B18:C18)</f>
        <v>1500000000</v>
      </c>
      <c r="E18" s="25">
        <v>0.0</v>
      </c>
      <c r="F18" s="25">
        <v>1.5E9</v>
      </c>
      <c r="G18" s="26">
        <f t="shared" ref="G18:G21" si="9">SUM(E18:F18)</f>
        <v>1500000000</v>
      </c>
      <c r="H18" s="25">
        <v>0.0</v>
      </c>
      <c r="I18" s="25">
        <v>1.5E9</v>
      </c>
      <c r="J18" s="26">
        <f t="shared" ref="J18:J21" si="10">SUM(H18:I18)</f>
        <v>1500000000</v>
      </c>
      <c r="K18" s="26"/>
      <c r="L18" s="61"/>
      <c r="M18" s="53"/>
      <c r="N18" s="53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>
      <c r="A19" s="24" t="s">
        <v>38</v>
      </c>
      <c r="B19" s="26">
        <v>4.392583672E9</v>
      </c>
      <c r="C19" s="25">
        <v>0.0</v>
      </c>
      <c r="D19" s="26">
        <f t="shared" si="8"/>
        <v>4392583672</v>
      </c>
      <c r="E19" s="25">
        <v>4.392583672E9</v>
      </c>
      <c r="F19" s="25">
        <v>0.0</v>
      </c>
      <c r="G19" s="26">
        <f t="shared" si="9"/>
        <v>4392583672</v>
      </c>
      <c r="H19" s="25">
        <v>4.392583672E9</v>
      </c>
      <c r="I19" s="25">
        <v>0.0</v>
      </c>
      <c r="J19" s="26">
        <f t="shared" si="10"/>
        <v>4392583672</v>
      </c>
      <c r="K19" s="26"/>
      <c r="L19" s="61"/>
      <c r="M19" s="53"/>
      <c r="N19" s="53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>
      <c r="A20" s="24" t="s">
        <v>39</v>
      </c>
      <c r="B20" s="26">
        <v>1.774471573E9</v>
      </c>
      <c r="C20" s="25">
        <v>0.0</v>
      </c>
      <c r="D20" s="26">
        <f t="shared" si="8"/>
        <v>1774471573</v>
      </c>
      <c r="E20" s="25">
        <v>1.774471573E9</v>
      </c>
      <c r="F20" s="25">
        <v>0.0</v>
      </c>
      <c r="G20" s="26">
        <f t="shared" si="9"/>
        <v>1774471573</v>
      </c>
      <c r="H20" s="25">
        <v>1.774471573E9</v>
      </c>
      <c r="I20" s="25">
        <v>0.0</v>
      </c>
      <c r="J20" s="26">
        <f t="shared" si="10"/>
        <v>1774471573</v>
      </c>
      <c r="K20" s="26"/>
      <c r="L20" s="61"/>
      <c r="M20" s="53"/>
      <c r="N20" s="53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>
      <c r="A21" s="24" t="s">
        <v>40</v>
      </c>
      <c r="B21" s="25">
        <v>0.0</v>
      </c>
      <c r="C21" s="26">
        <v>1.1005195E8</v>
      </c>
      <c r="D21" s="26">
        <f t="shared" si="8"/>
        <v>110051950</v>
      </c>
      <c r="E21" s="25">
        <v>0.0</v>
      </c>
      <c r="F21" s="25">
        <v>1.1005195E8</v>
      </c>
      <c r="G21" s="26">
        <f t="shared" si="9"/>
        <v>110051950</v>
      </c>
      <c r="H21" s="25">
        <v>0.0</v>
      </c>
      <c r="I21" s="25">
        <v>1.1005195E8</v>
      </c>
      <c r="J21" s="26">
        <f t="shared" si="10"/>
        <v>110051950</v>
      </c>
      <c r="K21" s="26"/>
      <c r="L21" s="61"/>
      <c r="M21" s="53"/>
      <c r="N21" s="53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ht="15.75" customHeight="1">
      <c r="A22" s="38" t="s">
        <v>41</v>
      </c>
      <c r="B22" s="39">
        <f t="shared" ref="B22:J22" si="11">SUM(B18:B21)</f>
        <v>6167055245</v>
      </c>
      <c r="C22" s="39">
        <f t="shared" si="11"/>
        <v>1610051950</v>
      </c>
      <c r="D22" s="39">
        <f t="shared" si="11"/>
        <v>7777107195</v>
      </c>
      <c r="E22" s="39">
        <f t="shared" si="11"/>
        <v>6167055245</v>
      </c>
      <c r="F22" s="39">
        <f t="shared" si="11"/>
        <v>1610051950</v>
      </c>
      <c r="G22" s="39">
        <f t="shared" si="11"/>
        <v>7777107195</v>
      </c>
      <c r="H22" s="39">
        <f t="shared" si="11"/>
        <v>6167055245</v>
      </c>
      <c r="I22" s="39">
        <f t="shared" si="11"/>
        <v>1610051950</v>
      </c>
      <c r="J22" s="39">
        <f t="shared" si="11"/>
        <v>7777107195</v>
      </c>
      <c r="K22" s="58"/>
      <c r="L22" s="61"/>
      <c r="M22" s="59"/>
      <c r="N22" s="59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</row>
    <row r="23" ht="15.75" customHeight="1">
      <c r="A23" s="62" t="s">
        <v>42</v>
      </c>
      <c r="B23" s="63">
        <f t="shared" ref="B23:J23" si="12">B17+B22</f>
        <v>17494715379</v>
      </c>
      <c r="C23" s="63">
        <f t="shared" si="12"/>
        <v>20195051950</v>
      </c>
      <c r="D23" s="63">
        <f t="shared" si="12"/>
        <v>37689767329</v>
      </c>
      <c r="E23" s="63">
        <f t="shared" si="12"/>
        <v>13672173057</v>
      </c>
      <c r="F23" s="63">
        <f t="shared" si="12"/>
        <v>24017594272</v>
      </c>
      <c r="G23" s="63">
        <f t="shared" si="12"/>
        <v>37689767329</v>
      </c>
      <c r="H23" s="63">
        <f t="shared" si="12"/>
        <v>14651107312</v>
      </c>
      <c r="I23" s="63">
        <f t="shared" si="12"/>
        <v>29451640834</v>
      </c>
      <c r="J23" s="63">
        <f t="shared" si="12"/>
        <v>44102748146</v>
      </c>
      <c r="K23" s="26"/>
      <c r="L23" s="61"/>
      <c r="M23" s="53"/>
      <c r="N23" s="53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ht="15.75" customHeight="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5"/>
      <c r="L24" s="66"/>
      <c r="M24" s="66"/>
      <c r="N24" s="66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ht="15.7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2"/>
      <c r="L25" s="49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ht="15.75" customHeight="1">
      <c r="A26" s="48"/>
      <c r="B26" s="48"/>
      <c r="C26" s="48"/>
      <c r="D26" s="48"/>
      <c r="E26" s="48"/>
      <c r="F26" s="50"/>
      <c r="G26" s="48"/>
      <c r="H26" s="48"/>
      <c r="I26" s="50"/>
      <c r="J26" s="48"/>
      <c r="K26" s="2"/>
      <c r="L26" s="49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49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49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49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49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9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9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9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9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9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9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49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49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49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49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49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49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49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49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49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49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49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49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49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49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49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49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49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49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49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49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49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49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49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49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49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49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49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9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49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49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49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49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49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49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49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49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49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49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49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49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49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49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49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49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49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49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49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49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49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49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49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49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4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49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49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49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49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49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49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49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49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49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49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9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9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9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9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9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9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9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49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49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49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9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49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9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49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9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49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49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49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49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49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49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9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49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49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49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49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9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49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49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49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49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49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49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49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49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49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49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49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9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49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49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49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49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49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49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49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49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49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49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49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9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49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49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49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49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49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49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9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49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49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49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9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49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49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49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49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49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49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49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49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49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49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9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49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49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49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49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49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49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49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49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49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49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49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49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49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49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49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49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49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49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49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49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49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49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49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49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49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49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49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49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49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49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49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49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49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49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49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49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49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49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49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49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49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49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49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49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49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49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49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49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49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49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49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49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49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49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49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9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49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9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49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49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49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49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49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49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49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49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49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49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49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49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49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49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49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49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49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49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49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49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49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49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49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49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49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49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49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49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49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49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49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49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49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49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49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49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49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49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49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49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49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49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49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49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49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49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49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49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49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49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49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49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49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49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49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9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49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9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49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9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49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9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49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49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49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49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9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49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49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9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49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49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49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49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49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49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49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49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49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49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49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49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49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49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9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9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49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49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49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49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49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49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49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49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49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49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49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49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49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49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49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49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49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49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49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49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49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49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49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49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49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49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49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9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49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49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49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49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49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49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49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49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49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49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49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49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49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49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49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49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49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49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49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49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49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49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49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49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49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49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49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49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49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49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49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49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49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49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49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49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49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49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49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49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49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49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49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49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49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49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49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49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49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49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49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49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49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49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49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49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49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49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49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49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49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49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49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49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49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49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49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49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49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49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49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49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49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49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49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49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49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49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49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49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49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49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49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49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49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49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49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49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49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49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49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49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49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49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49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49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49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49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49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49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49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49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49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49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49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49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49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49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49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49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49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49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49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49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49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49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49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49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49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49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49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49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49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49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49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49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49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49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49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49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49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49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49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49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49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49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49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49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49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49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49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49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49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49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49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49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49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49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49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49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49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49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49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49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49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49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49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49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49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49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49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49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49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49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49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49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49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49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49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49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49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49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49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49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49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49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49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49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49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49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49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49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49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49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49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49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49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49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49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49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49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49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49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49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49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49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49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49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49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49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49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49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49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49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49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49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49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49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49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49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49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49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49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49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49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49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49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49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49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49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49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49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49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49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49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49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49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49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49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49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49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49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49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49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49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49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49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49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49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49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49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49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49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49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49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49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49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49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49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49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49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49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49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49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49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49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49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49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49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49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49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49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49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49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49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49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49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49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49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49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49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49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49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49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49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49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49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49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49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49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49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49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49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49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49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49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49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49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49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49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49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49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49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49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49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49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49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49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49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49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49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49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49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49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49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49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49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49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49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49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49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49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49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49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49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49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49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49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49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49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49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49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49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49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49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49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49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49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49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49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49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49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49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49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49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49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49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49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49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49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49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49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49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49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49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49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49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49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49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49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49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49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49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49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49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49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49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49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49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49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49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49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49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49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49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49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49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49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49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49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49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49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49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49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49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49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49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49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49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49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49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49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49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49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49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49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49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49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49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49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49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49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49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49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49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49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49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49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49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49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49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49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49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49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49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49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49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49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49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49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49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49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49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49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49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49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49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49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49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49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49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49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49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49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49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49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49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49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49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49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49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49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49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49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49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49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49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49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49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49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49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49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49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49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49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49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49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49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49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49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49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49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49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49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49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49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49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49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49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49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49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49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49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49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49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49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49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49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49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49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49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49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49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49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49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49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49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49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49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49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49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49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49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49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49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49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49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49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49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49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49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49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49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49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49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49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49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49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49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49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49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49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49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49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49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49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49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49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49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49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49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49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49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49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49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49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49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49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49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49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49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49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49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49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49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49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49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49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49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49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49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49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49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49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49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49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49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49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49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49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49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49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49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49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49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49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49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49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49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49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49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49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49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49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49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49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49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49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49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49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49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49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49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49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49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49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49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49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49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49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49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49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49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49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49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49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49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49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49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49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49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49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49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49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49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49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49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49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49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49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49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49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49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49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49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49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49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49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49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49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49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49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49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49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49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49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49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49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49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49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49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49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49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49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49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49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49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49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49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49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49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49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49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49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49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49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49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49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49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49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49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49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49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49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49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49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49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49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49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49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49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49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49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49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49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49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49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49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49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49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49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49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49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49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49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49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49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49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</sheetData>
  <mergeCells count="6">
    <mergeCell ref="A2:A3"/>
    <mergeCell ref="B2:D2"/>
    <mergeCell ref="E2:G2"/>
    <mergeCell ref="H2:J2"/>
    <mergeCell ref="K2:K3"/>
    <mergeCell ref="L2:L3"/>
  </mergeCells>
  <conditionalFormatting sqref="L4:L23">
    <cfRule type="notContainsBlanks" dxfId="4" priority="1">
      <formula>LEN(TRIM(L4))&gt;0</formula>
    </cfRule>
  </conditionalFormatting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39.88"/>
    <col customWidth="1" min="2" max="2" width="17.88"/>
    <col customWidth="1" min="3" max="3" width="18.75"/>
    <col customWidth="1" min="4" max="5" width="18.0"/>
    <col customWidth="1" min="6" max="6" width="18.75"/>
    <col customWidth="1" min="7" max="8" width="18.0"/>
    <col customWidth="1" min="9" max="9" width="18.75"/>
    <col customWidth="1" min="10" max="10" width="21.38"/>
    <col customWidth="1" min="11" max="11" width="40.38"/>
    <col customWidth="1" hidden="1" min="12" max="12" width="23.5"/>
    <col customWidth="1" min="13" max="13" width="18.13"/>
    <col customWidth="1" min="14" max="14" width="16.75"/>
    <col customWidth="1" min="15" max="15" width="10.63"/>
    <col customWidth="1" min="16" max="29" width="8.6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4.5" customHeight="1">
      <c r="A2" s="5" t="s">
        <v>0</v>
      </c>
      <c r="B2" s="6" t="s">
        <v>1</v>
      </c>
      <c r="C2" s="7"/>
      <c r="D2" s="8"/>
      <c r="E2" s="6" t="s">
        <v>56</v>
      </c>
      <c r="F2" s="7"/>
      <c r="G2" s="8"/>
      <c r="H2" s="9" t="s">
        <v>57</v>
      </c>
      <c r="I2" s="7"/>
      <c r="J2" s="8"/>
      <c r="K2" s="10" t="s">
        <v>4</v>
      </c>
      <c r="L2" s="51" t="s">
        <v>45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8.5" customHeight="1">
      <c r="A3" s="12"/>
      <c r="B3" s="13" t="s">
        <v>5</v>
      </c>
      <c r="C3" s="14" t="s">
        <v>6</v>
      </c>
      <c r="D3" s="15" t="s">
        <v>7</v>
      </c>
      <c r="E3" s="13" t="s">
        <v>5</v>
      </c>
      <c r="F3" s="14" t="s">
        <v>6</v>
      </c>
      <c r="G3" s="15" t="s">
        <v>7</v>
      </c>
      <c r="H3" s="13" t="s">
        <v>5</v>
      </c>
      <c r="I3" s="14" t="s">
        <v>6</v>
      </c>
      <c r="J3" s="15" t="s">
        <v>7</v>
      </c>
      <c r="K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>
      <c r="A4" s="16" t="s">
        <v>8</v>
      </c>
      <c r="B4" s="17">
        <v>0.0</v>
      </c>
      <c r="C4" s="18">
        <v>3.0E9</v>
      </c>
      <c r="D4" s="18">
        <f t="shared" ref="D4:D16" si="1">SUM(B4:C4)</f>
        <v>3000000000</v>
      </c>
      <c r="E4" s="19">
        <v>0.0</v>
      </c>
      <c r="F4" s="20">
        <v>3.0E9</v>
      </c>
      <c r="G4" s="18">
        <f t="shared" ref="G4:G5" si="2">SUM(E4:F4)</f>
        <v>3000000000</v>
      </c>
      <c r="H4" s="21"/>
      <c r="I4" s="22">
        <f>1766210022.45+1693108143.42</f>
        <v>3459318166</v>
      </c>
      <c r="J4" s="22">
        <f t="shared" ref="J4:J5" si="3">SUM(H4:I4)</f>
        <v>3459318166</v>
      </c>
      <c r="K4" s="23" t="s">
        <v>9</v>
      </c>
      <c r="L4" s="52" t="s">
        <v>58</v>
      </c>
      <c r="M4" s="67" t="s">
        <v>59</v>
      </c>
      <c r="N4" s="53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>
      <c r="A5" s="24" t="s">
        <v>10</v>
      </c>
      <c r="B5" s="25">
        <v>0.0</v>
      </c>
      <c r="C5" s="26">
        <v>4.4E9</v>
      </c>
      <c r="D5" s="26">
        <f t="shared" si="1"/>
        <v>4400000000</v>
      </c>
      <c r="E5" s="27">
        <v>0.0</v>
      </c>
      <c r="F5" s="28">
        <v>4.4E9</v>
      </c>
      <c r="G5" s="28">
        <f t="shared" si="2"/>
        <v>4400000000</v>
      </c>
      <c r="H5" s="28">
        <v>0.0</v>
      </c>
      <c r="I5" s="28">
        <f>2000000000+282312603.74+2325834136.37+8387.5+1106000000</f>
        <v>5714155128</v>
      </c>
      <c r="J5" s="28">
        <f t="shared" si="3"/>
        <v>5714155128</v>
      </c>
      <c r="K5" s="54" t="s">
        <v>46</v>
      </c>
      <c r="L5" s="52" t="s">
        <v>58</v>
      </c>
      <c r="M5" s="67" t="s">
        <v>59</v>
      </c>
      <c r="N5" s="53"/>
      <c r="O5" s="53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>
      <c r="A6" s="24" t="s">
        <v>12</v>
      </c>
      <c r="B6" s="30">
        <v>2.375E9</v>
      </c>
      <c r="C6" s="31">
        <v>1.25E8</v>
      </c>
      <c r="D6" s="31">
        <f t="shared" si="1"/>
        <v>2500000000</v>
      </c>
      <c r="E6" s="32">
        <v>7.0271887622E8</v>
      </c>
      <c r="F6" s="32" t="s">
        <v>13</v>
      </c>
      <c r="G6" s="32">
        <v>2.5E9</v>
      </c>
      <c r="H6" s="32">
        <v>1.24975869612E9</v>
      </c>
      <c r="I6" s="32" t="s">
        <v>60</v>
      </c>
      <c r="J6" s="32">
        <f>3134177253.88</f>
        <v>3134177254</v>
      </c>
      <c r="K6" s="32" t="s">
        <v>48</v>
      </c>
      <c r="L6" s="52" t="s">
        <v>61</v>
      </c>
      <c r="M6" s="67" t="s">
        <v>62</v>
      </c>
      <c r="N6" s="53"/>
      <c r="O6" s="5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>
      <c r="A7" s="35" t="s">
        <v>16</v>
      </c>
      <c r="B7" s="30">
        <v>1.5E9</v>
      </c>
      <c r="C7" s="25">
        <v>0.0</v>
      </c>
      <c r="D7" s="26">
        <f t="shared" si="1"/>
        <v>1500000000</v>
      </c>
      <c r="E7" s="32">
        <v>7.6673987501E8</v>
      </c>
      <c r="F7" s="32" t="s">
        <v>17</v>
      </c>
      <c r="G7" s="26">
        <v>1.5E9</v>
      </c>
      <c r="H7" s="25">
        <v>1.10614571643E9</v>
      </c>
      <c r="I7" s="32" t="s">
        <v>63</v>
      </c>
      <c r="J7" s="26">
        <f>H7+774360635.86</f>
        <v>1880506352</v>
      </c>
      <c r="K7" s="55" t="s">
        <v>51</v>
      </c>
      <c r="L7" s="52" t="s">
        <v>61</v>
      </c>
      <c r="M7" s="67" t="s">
        <v>62</v>
      </c>
      <c r="N7" s="56" t="s">
        <v>52</v>
      </c>
      <c r="O7" s="5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>
      <c r="A8" s="35" t="s">
        <v>20</v>
      </c>
      <c r="B8" s="25">
        <v>5.0E9</v>
      </c>
      <c r="C8" s="25">
        <v>0.0</v>
      </c>
      <c r="D8" s="26">
        <f t="shared" si="1"/>
        <v>5000000000</v>
      </c>
      <c r="E8" s="25">
        <v>5.0E9</v>
      </c>
      <c r="F8" s="25">
        <v>0.0</v>
      </c>
      <c r="G8" s="26">
        <f t="shared" ref="G8:G16" si="4">SUM(E8:F8)</f>
        <v>5000000000</v>
      </c>
      <c r="H8" s="25">
        <v>5.0E9</v>
      </c>
      <c r="I8" s="25">
        <v>0.0</v>
      </c>
      <c r="J8" s="26">
        <f t="shared" ref="J8:J16" si="5">SUM(H8:I8)</f>
        <v>5000000000</v>
      </c>
      <c r="K8" s="55" t="s">
        <v>21</v>
      </c>
      <c r="L8" s="52" t="s">
        <v>58</v>
      </c>
      <c r="M8" s="67" t="s">
        <v>59</v>
      </c>
      <c r="N8" s="53"/>
      <c r="O8" s="5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>
      <c r="A9" s="35" t="s">
        <v>22</v>
      </c>
      <c r="B9" s="25">
        <v>1.55E9</v>
      </c>
      <c r="C9" s="25">
        <v>0.0</v>
      </c>
      <c r="D9" s="26">
        <f t="shared" si="1"/>
        <v>1550000000</v>
      </c>
      <c r="E9" s="25">
        <f>1550000000-1417001073</f>
        <v>132998927</v>
      </c>
      <c r="F9" s="25">
        <v>1.417001073E9</v>
      </c>
      <c r="G9" s="26">
        <f t="shared" si="4"/>
        <v>1550000000</v>
      </c>
      <c r="H9" s="25">
        <v>1.32998927E8</v>
      </c>
      <c r="I9" s="25">
        <f>(1417001073-170000000-400000000)+211773067.2+503338675.12</f>
        <v>1562112815</v>
      </c>
      <c r="J9" s="26">
        <f t="shared" si="5"/>
        <v>1695111742</v>
      </c>
      <c r="K9" s="57" t="s">
        <v>53</v>
      </c>
      <c r="L9" s="52" t="s">
        <v>64</v>
      </c>
      <c r="M9" s="67" t="s">
        <v>59</v>
      </c>
      <c r="N9" s="53"/>
      <c r="O9" s="5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>
      <c r="A10" s="24" t="s">
        <v>24</v>
      </c>
      <c r="B10" s="25">
        <v>0.0</v>
      </c>
      <c r="C10" s="25">
        <v>2.05E9</v>
      </c>
      <c r="D10" s="26">
        <f t="shared" si="1"/>
        <v>2050000000</v>
      </c>
      <c r="E10" s="25">
        <v>0.0</v>
      </c>
      <c r="F10" s="25">
        <v>2.05E9</v>
      </c>
      <c r="G10" s="26">
        <f t="shared" si="4"/>
        <v>2050000000</v>
      </c>
      <c r="H10" s="25">
        <v>0.0</v>
      </c>
      <c r="I10" s="25">
        <v>2.98612109983E9</v>
      </c>
      <c r="J10" s="26">
        <f t="shared" si="5"/>
        <v>2986121100</v>
      </c>
      <c r="K10" s="55" t="s">
        <v>25</v>
      </c>
      <c r="L10" s="52" t="s">
        <v>65</v>
      </c>
      <c r="M10" s="67" t="s">
        <v>66</v>
      </c>
      <c r="N10" s="53"/>
      <c r="O10" s="5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ht="143.25" customHeight="1">
      <c r="A11" s="24" t="s">
        <v>26</v>
      </c>
      <c r="B11" s="25">
        <v>0.0</v>
      </c>
      <c r="C11" s="25">
        <v>4.95E9</v>
      </c>
      <c r="D11" s="26">
        <f t="shared" si="1"/>
        <v>4950000000</v>
      </c>
      <c r="E11" s="25">
        <v>0.0</v>
      </c>
      <c r="F11" s="25">
        <v>4.95E9</v>
      </c>
      <c r="G11" s="26">
        <f t="shared" si="4"/>
        <v>4950000000</v>
      </c>
      <c r="H11" s="25">
        <v>0.0</v>
      </c>
      <c r="I11" s="25">
        <f>3663719904.58+(5*518269874.82)</f>
        <v>6255069279</v>
      </c>
      <c r="J11" s="26">
        <f t="shared" si="5"/>
        <v>6255069279</v>
      </c>
      <c r="K11" s="55" t="s">
        <v>27</v>
      </c>
      <c r="L11" s="52" t="s">
        <v>65</v>
      </c>
      <c r="M11" s="67" t="s">
        <v>66</v>
      </c>
      <c r="N11" s="53"/>
      <c r="O11" s="5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>
      <c r="A12" s="24" t="s">
        <v>28</v>
      </c>
      <c r="B12" s="25">
        <v>0.0</v>
      </c>
      <c r="C12" s="25">
        <v>3.65E9</v>
      </c>
      <c r="D12" s="26">
        <f t="shared" si="1"/>
        <v>3650000000</v>
      </c>
      <c r="E12" s="25">
        <v>0.0</v>
      </c>
      <c r="F12" s="25">
        <v>3.65E9</v>
      </c>
      <c r="G12" s="26">
        <f t="shared" si="4"/>
        <v>3650000000</v>
      </c>
      <c r="H12" s="25">
        <v>0.0</v>
      </c>
      <c r="I12" s="25">
        <v>4.55338120596E9</v>
      </c>
      <c r="J12" s="26">
        <f t="shared" si="5"/>
        <v>4553381206</v>
      </c>
      <c r="K12" s="55" t="s">
        <v>29</v>
      </c>
      <c r="L12" s="52" t="s">
        <v>65</v>
      </c>
      <c r="M12" s="67" t="s">
        <v>66</v>
      </c>
      <c r="N12" s="53"/>
      <c r="O12" s="5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>
      <c r="A13" s="24" t="s">
        <v>30</v>
      </c>
      <c r="B13" s="26">
        <v>1.35E8</v>
      </c>
      <c r="C13" s="25">
        <v>0.0</v>
      </c>
      <c r="D13" s="26">
        <f t="shared" si="1"/>
        <v>135000000</v>
      </c>
      <c r="E13" s="25">
        <v>1.35E8</v>
      </c>
      <c r="F13" s="25">
        <v>0.0</v>
      </c>
      <c r="G13" s="26">
        <f t="shared" si="4"/>
        <v>135000000</v>
      </c>
      <c r="H13" s="25">
        <v>1.69245571706748E8</v>
      </c>
      <c r="I13" s="25">
        <v>0.0</v>
      </c>
      <c r="J13" s="26">
        <f t="shared" si="5"/>
        <v>169245571.7</v>
      </c>
      <c r="K13" s="55" t="s">
        <v>54</v>
      </c>
      <c r="L13" s="52" t="s">
        <v>67</v>
      </c>
      <c r="M13" s="67" t="s">
        <v>59</v>
      </c>
      <c r="N13" s="53"/>
      <c r="O13" s="53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>
      <c r="A14" s="24" t="s">
        <v>32</v>
      </c>
      <c r="B14" s="25">
        <v>0.0</v>
      </c>
      <c r="C14" s="25">
        <v>3.1E8</v>
      </c>
      <c r="D14" s="26">
        <f t="shared" si="1"/>
        <v>310000000</v>
      </c>
      <c r="E14" s="25">
        <v>0.0</v>
      </c>
      <c r="F14" s="25">
        <v>3.1E8</v>
      </c>
      <c r="G14" s="26">
        <f t="shared" si="4"/>
        <v>310000000</v>
      </c>
      <c r="H14" s="25">
        <v>0.0</v>
      </c>
      <c r="I14" s="25">
        <v>4.4650170542E8</v>
      </c>
      <c r="J14" s="26">
        <f t="shared" si="5"/>
        <v>446501705.4</v>
      </c>
      <c r="K14" s="55" t="s">
        <v>29</v>
      </c>
      <c r="L14" s="52" t="s">
        <v>65</v>
      </c>
      <c r="M14" s="67" t="s">
        <v>66</v>
      </c>
      <c r="N14" s="53"/>
      <c r="O14" s="53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>
      <c r="A15" s="35" t="s">
        <v>33</v>
      </c>
      <c r="B15" s="25">
        <v>6.0E8</v>
      </c>
      <c r="C15" s="25">
        <v>1.0E8</v>
      </c>
      <c r="D15" s="26">
        <f t="shared" si="1"/>
        <v>700000000</v>
      </c>
      <c r="E15" s="25">
        <v>6.0E8</v>
      </c>
      <c r="F15" s="25">
        <v>1.0E8</v>
      </c>
      <c r="G15" s="26">
        <f t="shared" si="4"/>
        <v>700000000</v>
      </c>
      <c r="H15" s="25">
        <v>6.0E8</v>
      </c>
      <c r="I15" s="25">
        <v>1.0E8</v>
      </c>
      <c r="J15" s="26">
        <f t="shared" si="5"/>
        <v>700000000</v>
      </c>
      <c r="K15" s="55" t="s">
        <v>68</v>
      </c>
      <c r="L15" s="52" t="s">
        <v>58</v>
      </c>
      <c r="M15" s="67" t="s">
        <v>59</v>
      </c>
      <c r="N15" s="53"/>
      <c r="O15" s="5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>
      <c r="A16" s="24" t="s">
        <v>35</v>
      </c>
      <c r="B16" s="26">
        <f>71040828+96619306</f>
        <v>167660134</v>
      </c>
      <c r="C16" s="25">
        <v>0.0</v>
      </c>
      <c r="D16" s="26">
        <f t="shared" si="1"/>
        <v>167660134</v>
      </c>
      <c r="E16" s="26">
        <f>71040828+96619306</f>
        <v>167660134</v>
      </c>
      <c r="F16" s="25">
        <v>0.0</v>
      </c>
      <c r="G16" s="26">
        <f t="shared" si="4"/>
        <v>167660134</v>
      </c>
      <c r="H16" s="26">
        <f>89061818.8843019+121128812.458365</f>
        <v>210190631.3</v>
      </c>
      <c r="I16" s="25"/>
      <c r="J16" s="26">
        <f t="shared" si="5"/>
        <v>210190631.3</v>
      </c>
      <c r="K16" s="55" t="s">
        <v>54</v>
      </c>
      <c r="L16" s="52" t="s">
        <v>58</v>
      </c>
      <c r="M16" s="67" t="s">
        <v>59</v>
      </c>
      <c r="N16" s="53"/>
      <c r="O16" s="53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ht="15.75" customHeight="1">
      <c r="A17" s="38" t="s">
        <v>36</v>
      </c>
      <c r="B17" s="39">
        <f t="shared" ref="B17:E17" si="6">SUM(B4:B16)</f>
        <v>11327660134</v>
      </c>
      <c r="C17" s="39">
        <f t="shared" si="6"/>
        <v>18585000000</v>
      </c>
      <c r="D17" s="39">
        <f t="shared" si="6"/>
        <v>29912660134</v>
      </c>
      <c r="E17" s="39">
        <f t="shared" si="6"/>
        <v>7505117812</v>
      </c>
      <c r="F17" s="39">
        <f>SUM(F4:F16)+1797281123.78+733260124.99</f>
        <v>22407542322</v>
      </c>
      <c r="G17" s="39">
        <f t="shared" ref="G17:H17" si="7">SUM(G4:G16)</f>
        <v>29912660134</v>
      </c>
      <c r="H17" s="39">
        <f t="shared" si="7"/>
        <v>8468339543</v>
      </c>
      <c r="I17" s="39">
        <f>SUM(I4:I16)+1884418557.71+774360635.86</f>
        <v>27735438592</v>
      </c>
      <c r="J17" s="39">
        <f>SUM(J4:J16)</f>
        <v>36203778135</v>
      </c>
      <c r="K17" s="58"/>
      <c r="L17" s="52" t="s">
        <v>61</v>
      </c>
      <c r="M17" s="59"/>
      <c r="N17" s="59"/>
      <c r="O17" s="60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</row>
    <row r="18">
      <c r="A18" s="24" t="s">
        <v>37</v>
      </c>
      <c r="B18" s="25">
        <v>0.0</v>
      </c>
      <c r="C18" s="25">
        <v>1.5E9</v>
      </c>
      <c r="D18" s="26">
        <f t="shared" ref="D18:D21" si="8">SUM(B18:C18)</f>
        <v>1500000000</v>
      </c>
      <c r="E18" s="25">
        <v>0.0</v>
      </c>
      <c r="F18" s="25">
        <v>1.5E9</v>
      </c>
      <c r="G18" s="26">
        <f t="shared" ref="G18:G21" si="9">SUM(E18:F18)</f>
        <v>1500000000</v>
      </c>
      <c r="H18" s="25">
        <v>0.0</v>
      </c>
      <c r="I18" s="25">
        <v>1.5E9</v>
      </c>
      <c r="J18" s="26">
        <f t="shared" ref="J18:J21" si="10">SUM(H18:I18)</f>
        <v>1500000000</v>
      </c>
      <c r="K18" s="26"/>
      <c r="L18" s="61" t="s">
        <v>69</v>
      </c>
      <c r="M18" s="53"/>
      <c r="N18" s="53"/>
      <c r="O18" s="53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>
      <c r="A19" s="24" t="s">
        <v>38</v>
      </c>
      <c r="B19" s="26">
        <v>4.392583672E9</v>
      </c>
      <c r="C19" s="25">
        <v>0.0</v>
      </c>
      <c r="D19" s="26">
        <f t="shared" si="8"/>
        <v>4392583672</v>
      </c>
      <c r="E19" s="25">
        <v>4.392583672E9</v>
      </c>
      <c r="F19" s="25">
        <v>0.0</v>
      </c>
      <c r="G19" s="26">
        <f t="shared" si="9"/>
        <v>4392583672</v>
      </c>
      <c r="H19" s="25">
        <v>4.392583672E9</v>
      </c>
      <c r="I19" s="25">
        <v>0.0</v>
      </c>
      <c r="J19" s="26">
        <f t="shared" si="10"/>
        <v>4392583672</v>
      </c>
      <c r="K19" s="26"/>
      <c r="L19" s="61" t="s">
        <v>69</v>
      </c>
      <c r="M19" s="53"/>
      <c r="N19" s="53"/>
      <c r="O19" s="53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>
      <c r="A20" s="24" t="s">
        <v>39</v>
      </c>
      <c r="B20" s="26">
        <v>1.774471573E9</v>
      </c>
      <c r="C20" s="25">
        <v>0.0</v>
      </c>
      <c r="D20" s="26">
        <f t="shared" si="8"/>
        <v>1774471573</v>
      </c>
      <c r="E20" s="25">
        <v>1.774471573E9</v>
      </c>
      <c r="F20" s="25">
        <v>0.0</v>
      </c>
      <c r="G20" s="26">
        <f t="shared" si="9"/>
        <v>1774471573</v>
      </c>
      <c r="H20" s="25">
        <v>1.774471573E9</v>
      </c>
      <c r="I20" s="25">
        <v>0.0</v>
      </c>
      <c r="J20" s="26">
        <f t="shared" si="10"/>
        <v>1774471573</v>
      </c>
      <c r="K20" s="26"/>
      <c r="L20" s="61" t="s">
        <v>69</v>
      </c>
      <c r="M20" s="53"/>
      <c r="N20" s="53"/>
      <c r="O20" s="53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>
      <c r="A21" s="24" t="s">
        <v>40</v>
      </c>
      <c r="B21" s="25">
        <v>0.0</v>
      </c>
      <c r="C21" s="26">
        <v>1.1005195E8</v>
      </c>
      <c r="D21" s="26">
        <f t="shared" si="8"/>
        <v>110051950</v>
      </c>
      <c r="E21" s="25">
        <v>0.0</v>
      </c>
      <c r="F21" s="25">
        <v>1.1005195E8</v>
      </c>
      <c r="G21" s="26">
        <f t="shared" si="9"/>
        <v>110051950</v>
      </c>
      <c r="H21" s="25">
        <v>0.0</v>
      </c>
      <c r="I21" s="25">
        <v>1.1005195E8</v>
      </c>
      <c r="J21" s="26">
        <f t="shared" si="10"/>
        <v>110051950</v>
      </c>
      <c r="K21" s="26"/>
      <c r="L21" s="61" t="s">
        <v>69</v>
      </c>
      <c r="M21" s="53"/>
      <c r="N21" s="53"/>
      <c r="O21" s="53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ht="15.75" customHeight="1">
      <c r="A22" s="38" t="s">
        <v>41</v>
      </c>
      <c r="B22" s="39">
        <f t="shared" ref="B22:J22" si="11">SUM(B18:B21)</f>
        <v>6167055245</v>
      </c>
      <c r="C22" s="39">
        <f t="shared" si="11"/>
        <v>1610051950</v>
      </c>
      <c r="D22" s="39">
        <f t="shared" si="11"/>
        <v>7777107195</v>
      </c>
      <c r="E22" s="39">
        <f t="shared" si="11"/>
        <v>6167055245</v>
      </c>
      <c r="F22" s="39">
        <f t="shared" si="11"/>
        <v>1610051950</v>
      </c>
      <c r="G22" s="39">
        <f t="shared" si="11"/>
        <v>7777107195</v>
      </c>
      <c r="H22" s="39">
        <f t="shared" si="11"/>
        <v>6167055245</v>
      </c>
      <c r="I22" s="39">
        <f t="shared" si="11"/>
        <v>1610051950</v>
      </c>
      <c r="J22" s="39">
        <f t="shared" si="11"/>
        <v>7777107195</v>
      </c>
      <c r="K22" s="58"/>
      <c r="L22" s="61" t="s">
        <v>70</v>
      </c>
      <c r="M22" s="59"/>
      <c r="N22" s="59"/>
      <c r="O22" s="59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</row>
    <row r="23" ht="15.75" customHeight="1">
      <c r="A23" s="62" t="s">
        <v>42</v>
      </c>
      <c r="B23" s="63">
        <f t="shared" ref="B23:J23" si="12">B17+B22</f>
        <v>17494715379</v>
      </c>
      <c r="C23" s="63">
        <f t="shared" si="12"/>
        <v>20195051950</v>
      </c>
      <c r="D23" s="63">
        <f t="shared" si="12"/>
        <v>37689767329</v>
      </c>
      <c r="E23" s="63">
        <f t="shared" si="12"/>
        <v>13672173057</v>
      </c>
      <c r="F23" s="63">
        <f t="shared" si="12"/>
        <v>24017594272</v>
      </c>
      <c r="G23" s="63">
        <f t="shared" si="12"/>
        <v>37689767329</v>
      </c>
      <c r="H23" s="63">
        <f t="shared" si="12"/>
        <v>14635394788</v>
      </c>
      <c r="I23" s="63">
        <f t="shared" si="12"/>
        <v>29345490542</v>
      </c>
      <c r="J23" s="63">
        <f t="shared" si="12"/>
        <v>43980885330</v>
      </c>
      <c r="K23" s="26"/>
      <c r="L23" s="61" t="s">
        <v>70</v>
      </c>
      <c r="M23" s="53"/>
      <c r="N23" s="53"/>
      <c r="O23" s="53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ht="15.75" customHeight="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5"/>
      <c r="L24" s="66"/>
      <c r="M24" s="66"/>
      <c r="N24" s="66"/>
      <c r="O24" s="66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ht="15.7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2"/>
      <c r="L25" s="49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ht="15.75" customHeight="1">
      <c r="A26" s="48"/>
      <c r="B26" s="48"/>
      <c r="C26" s="48"/>
      <c r="D26" s="48"/>
      <c r="E26" s="48"/>
      <c r="F26" s="50"/>
      <c r="G26" s="48"/>
      <c r="H26" s="48"/>
      <c r="I26" s="50"/>
      <c r="J26" s="48"/>
      <c r="K26" s="2"/>
      <c r="L26" s="49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49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49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49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49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9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9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9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9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9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9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49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49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49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49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49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49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49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49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49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49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49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49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49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49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49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49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49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49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49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49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49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49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49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49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49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49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49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9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49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49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49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49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49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49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49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49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49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49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49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49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49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49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49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49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49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49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49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49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49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49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49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49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4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49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49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49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49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49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49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49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49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49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49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9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9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9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9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9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9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9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49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49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49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9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49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9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49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9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49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49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49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49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49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49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9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49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49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49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49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9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49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49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49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49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49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49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49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49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49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49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49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9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49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49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49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49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49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49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49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49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49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49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49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9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49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49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49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49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49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49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9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49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49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49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9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49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49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49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49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49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49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49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49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49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49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9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49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49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49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49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49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49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49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49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49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49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49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49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49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49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49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49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49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49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49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49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49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49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49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49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49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49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49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49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49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49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49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49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49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49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49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49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49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49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49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49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49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49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49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49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49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49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49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49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49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49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49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49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49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49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49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9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49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9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49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49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49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49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49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49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49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49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49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49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49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49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49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49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49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49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49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49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49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49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49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49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49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49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49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49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49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49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49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49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49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49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49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49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49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49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49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49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49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49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49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49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49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49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49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49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49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49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49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49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49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49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49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49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49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9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49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9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49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9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49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9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49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49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49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49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9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49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49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9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49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49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49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49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49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49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49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49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49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49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49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49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49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49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9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9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49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49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49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49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49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49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49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49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49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49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49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49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49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49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49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49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49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49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49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49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49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49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49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49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49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49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49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9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49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49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49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49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49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49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49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49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49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49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49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49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49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49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49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49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49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49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49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49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49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49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49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49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49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49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49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49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49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49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49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49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49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49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49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49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49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49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49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49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49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49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49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49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49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49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49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49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49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49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49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49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49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49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49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49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49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49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49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49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49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49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49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49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49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49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49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49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49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49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49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49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49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49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49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49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49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49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49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49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49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49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49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49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49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49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49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49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49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49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49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49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49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49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49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49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49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49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49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49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49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49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49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49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49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49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49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49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49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49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49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49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49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49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49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49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49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49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49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49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49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49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49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49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49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49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49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49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49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49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49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49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49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49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49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49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49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49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49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49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49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49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49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49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49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49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49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49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49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49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49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49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49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49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49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49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49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49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49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49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49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49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49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49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49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49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49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49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49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49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49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49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49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49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49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49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49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49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49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49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49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49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49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49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49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49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49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49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49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49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49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49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49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49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49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49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49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49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49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49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49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49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49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49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49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49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49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49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49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49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49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49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49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49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49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49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49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49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49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49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49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49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49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49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49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49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49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49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49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49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49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49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49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49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49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49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49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49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49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49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49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49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49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49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49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49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49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49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49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49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49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49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49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49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49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49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49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49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49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49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49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49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49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49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49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49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49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49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49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49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49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49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49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49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49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49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49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49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49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49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49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49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49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49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49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49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49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49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49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49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49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49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49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49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49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49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49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49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49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49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49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49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49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49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49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49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49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49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49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49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49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49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49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49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49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49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49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49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49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49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49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49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49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49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49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49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49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49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49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49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49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49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49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49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49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49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49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49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49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49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49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49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49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49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49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49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49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49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49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49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49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49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49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49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49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49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49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49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49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49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49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49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49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49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49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49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49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49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49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49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49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49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49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49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49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49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49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49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49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49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49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49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49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49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49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49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49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49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49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49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49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49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49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49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49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49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49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49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49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49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49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49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49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49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49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49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49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49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49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49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49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49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49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49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49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49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49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49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49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49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49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49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49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49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49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49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49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49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49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49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49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49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49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49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49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49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49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49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49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49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49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49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49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49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49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49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49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49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49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49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49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49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49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49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49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49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49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49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49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49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49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49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49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49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49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49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49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49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49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49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49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49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49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49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49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49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49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49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49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49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49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49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49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49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49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49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49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49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49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49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49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49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49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49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49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49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49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49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49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49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49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49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49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49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49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49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49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49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49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49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49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49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49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49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49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49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49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49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49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49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49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49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49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49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49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49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49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49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49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49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49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49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49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49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49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49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49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49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49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49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49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49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49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49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49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49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49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49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49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49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49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49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49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49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49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49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49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49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49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49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49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49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49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49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49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49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49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49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49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49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49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49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49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49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49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49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49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49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49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49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49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49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49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49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49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49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49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49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49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49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49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49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49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49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49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49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49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49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49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49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49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49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49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49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49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49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49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49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49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49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49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49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49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49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49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49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49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49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49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49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49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49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49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49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49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49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49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49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49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49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49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49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49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49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49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49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49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49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49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49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49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49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49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49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49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49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49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49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49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49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49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49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49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49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49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49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49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49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</sheetData>
  <mergeCells count="6">
    <mergeCell ref="A2:A3"/>
    <mergeCell ref="B2:D2"/>
    <mergeCell ref="E2:G2"/>
    <mergeCell ref="H2:J2"/>
    <mergeCell ref="K2:K3"/>
    <mergeCell ref="L2:L3"/>
  </mergeCells>
  <conditionalFormatting sqref="L4:L23">
    <cfRule type="notContainsBlanks" dxfId="4" priority="1">
      <formula>LEN(TRIM(L4))&gt;0</formula>
    </cfRule>
  </conditionalFormatting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39.88"/>
    <col customWidth="1" min="2" max="2" width="17.88"/>
    <col customWidth="1" min="3" max="3" width="18.75"/>
    <col customWidth="1" min="4" max="5" width="18.0"/>
    <col customWidth="1" min="6" max="6" width="18.75"/>
    <col customWidth="1" min="7" max="8" width="18.0"/>
    <col customWidth="1" min="9" max="9" width="18.75"/>
    <col customWidth="1" min="10" max="10" width="18.25"/>
    <col customWidth="1" min="11" max="11" width="40.38"/>
    <col customWidth="1" hidden="1" min="12" max="12" width="23.5"/>
    <col customWidth="1" min="13" max="13" width="18.13"/>
    <col customWidth="1" min="14" max="14" width="16.75"/>
    <col customWidth="1" min="15" max="15" width="10.63"/>
    <col customWidth="1" min="16" max="29" width="8.6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4.5" customHeight="1">
      <c r="A2" s="5" t="s">
        <v>0</v>
      </c>
      <c r="B2" s="6" t="s">
        <v>1</v>
      </c>
      <c r="C2" s="7"/>
      <c r="D2" s="8"/>
      <c r="E2" s="6" t="s">
        <v>71</v>
      </c>
      <c r="F2" s="7"/>
      <c r="G2" s="8"/>
      <c r="H2" s="9" t="s">
        <v>72</v>
      </c>
      <c r="I2" s="7"/>
      <c r="J2" s="8"/>
      <c r="K2" s="10" t="s">
        <v>4</v>
      </c>
      <c r="L2" s="51" t="s">
        <v>45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8.5" customHeight="1">
      <c r="A3" s="12"/>
      <c r="B3" s="13" t="s">
        <v>5</v>
      </c>
      <c r="C3" s="14" t="s">
        <v>6</v>
      </c>
      <c r="D3" s="15" t="s">
        <v>7</v>
      </c>
      <c r="E3" s="13" t="s">
        <v>5</v>
      </c>
      <c r="F3" s="14" t="s">
        <v>6</v>
      </c>
      <c r="G3" s="15" t="s">
        <v>7</v>
      </c>
      <c r="H3" s="13" t="s">
        <v>5</v>
      </c>
      <c r="I3" s="14" t="s">
        <v>6</v>
      </c>
      <c r="J3" s="15" t="s">
        <v>7</v>
      </c>
      <c r="K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>
      <c r="A4" s="16" t="s">
        <v>8</v>
      </c>
      <c r="B4" s="17">
        <v>0.0</v>
      </c>
      <c r="C4" s="18">
        <v>3.0E9</v>
      </c>
      <c r="D4" s="18">
        <f t="shared" ref="D4:D16" si="1">SUM(B4:C4)</f>
        <v>3000000000</v>
      </c>
      <c r="E4" s="19">
        <v>0.0</v>
      </c>
      <c r="F4" s="20">
        <v>3.0E9</v>
      </c>
      <c r="G4" s="18">
        <f t="shared" ref="G4:G5" si="2">SUM(E4:F4)</f>
        <v>3000000000</v>
      </c>
      <c r="H4" s="21"/>
      <c r="I4" s="22">
        <f>1766210022.45+1693108143.42</f>
        <v>3459318166</v>
      </c>
      <c r="J4" s="22">
        <f t="shared" ref="J4:J5" si="3">SUM(H4:I4)</f>
        <v>3459318166</v>
      </c>
      <c r="K4" s="23" t="s">
        <v>9</v>
      </c>
      <c r="L4" s="52" t="s">
        <v>58</v>
      </c>
      <c r="M4" s="53"/>
      <c r="N4" s="53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>
      <c r="A5" s="24" t="s">
        <v>10</v>
      </c>
      <c r="B5" s="25">
        <v>0.0</v>
      </c>
      <c r="C5" s="26">
        <v>4.4E9</v>
      </c>
      <c r="D5" s="26">
        <f t="shared" si="1"/>
        <v>4400000000</v>
      </c>
      <c r="E5" s="27">
        <v>0.0</v>
      </c>
      <c r="F5" s="28">
        <v>4.4E9</v>
      </c>
      <c r="G5" s="28">
        <f t="shared" si="2"/>
        <v>4400000000</v>
      </c>
      <c r="H5" s="28">
        <v>0.0</v>
      </c>
      <c r="I5" s="28">
        <f>2000000000+282312603.74+2325834136.37+8387.5+1088000000</f>
        <v>5696155128</v>
      </c>
      <c r="J5" s="28">
        <f t="shared" si="3"/>
        <v>5696155128</v>
      </c>
      <c r="K5" s="54" t="s">
        <v>73</v>
      </c>
      <c r="L5" s="52" t="s">
        <v>58</v>
      </c>
      <c r="M5" s="53"/>
      <c r="N5" s="53"/>
      <c r="O5" s="53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>
      <c r="A6" s="24" t="s">
        <v>12</v>
      </c>
      <c r="B6" s="30">
        <v>2.375E9</v>
      </c>
      <c r="C6" s="31">
        <v>1.25E8</v>
      </c>
      <c r="D6" s="31">
        <f t="shared" si="1"/>
        <v>2500000000</v>
      </c>
      <c r="E6" s="32">
        <v>7.7318620296E8</v>
      </c>
      <c r="F6" s="32" t="s">
        <v>74</v>
      </c>
      <c r="G6" s="32">
        <v>2.5E9</v>
      </c>
      <c r="H6" s="32">
        <v>1.31439910669E9</v>
      </c>
      <c r="I6" s="32" t="s">
        <v>75</v>
      </c>
      <c r="J6" s="28">
        <f>1314399106.69+1806048179.08</f>
        <v>3120447286</v>
      </c>
      <c r="K6" s="32" t="s">
        <v>48</v>
      </c>
      <c r="L6" s="52" t="s">
        <v>61</v>
      </c>
      <c r="M6" s="53"/>
      <c r="N6" s="53"/>
      <c r="O6" s="5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>
      <c r="A7" s="24" t="s">
        <v>16</v>
      </c>
      <c r="B7" s="30">
        <v>1.5E9</v>
      </c>
      <c r="C7" s="25">
        <v>0.0</v>
      </c>
      <c r="D7" s="26">
        <f t="shared" si="1"/>
        <v>1500000000</v>
      </c>
      <c r="E7" s="32">
        <v>7.6673987501E8</v>
      </c>
      <c r="F7" s="32" t="s">
        <v>17</v>
      </c>
      <c r="G7" s="26">
        <v>1.5E9</v>
      </c>
      <c r="H7" s="25">
        <v>1.10129999645E9</v>
      </c>
      <c r="I7" s="32" t="s">
        <v>76</v>
      </c>
      <c r="J7" s="26">
        <f>H7+770968375.01</f>
        <v>1872268371</v>
      </c>
      <c r="K7" s="55" t="s">
        <v>51</v>
      </c>
      <c r="L7" s="52" t="s">
        <v>61</v>
      </c>
      <c r="M7" s="53"/>
      <c r="N7" s="53"/>
      <c r="O7" s="5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>
      <c r="A8" s="35" t="s">
        <v>20</v>
      </c>
      <c r="B8" s="25">
        <v>5.0E9</v>
      </c>
      <c r="C8" s="25">
        <v>0.0</v>
      </c>
      <c r="D8" s="26">
        <f t="shared" si="1"/>
        <v>5000000000</v>
      </c>
      <c r="E8" s="25">
        <v>5.0E9</v>
      </c>
      <c r="F8" s="25">
        <v>0.0</v>
      </c>
      <c r="G8" s="26">
        <f t="shared" ref="G8:G16" si="4">SUM(E8:F8)</f>
        <v>5000000000</v>
      </c>
      <c r="H8" s="25">
        <v>5.0E9</v>
      </c>
      <c r="I8" s="25">
        <v>0.0</v>
      </c>
      <c r="J8" s="26">
        <f t="shared" ref="J8:J16" si="5">SUM(H8:I8)</f>
        <v>5000000000</v>
      </c>
      <c r="K8" s="55" t="s">
        <v>21</v>
      </c>
      <c r="L8" s="52" t="s">
        <v>58</v>
      </c>
      <c r="M8" s="53"/>
      <c r="N8" s="53"/>
      <c r="O8" s="5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>
      <c r="A9" s="35" t="s">
        <v>22</v>
      </c>
      <c r="B9" s="25">
        <v>1.55E9</v>
      </c>
      <c r="C9" s="25">
        <v>0.0</v>
      </c>
      <c r="D9" s="26">
        <f t="shared" si="1"/>
        <v>1550000000</v>
      </c>
      <c r="E9" s="25">
        <f>1550000000-1417001073</f>
        <v>132998927</v>
      </c>
      <c r="F9" s="25">
        <v>1.417001073E9</v>
      </c>
      <c r="G9" s="26">
        <f t="shared" si="4"/>
        <v>1550000000</v>
      </c>
      <c r="H9" s="25">
        <v>1.32998927E8</v>
      </c>
      <c r="I9" s="25">
        <f>211773067.2+1247001073</f>
        <v>1458774140</v>
      </c>
      <c r="J9" s="26">
        <f t="shared" si="5"/>
        <v>1591773067</v>
      </c>
      <c r="K9" s="55" t="s">
        <v>77</v>
      </c>
      <c r="L9" s="52" t="s">
        <v>64</v>
      </c>
      <c r="M9" s="53"/>
      <c r="N9" s="53"/>
      <c r="O9" s="5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>
      <c r="A10" s="24" t="s">
        <v>24</v>
      </c>
      <c r="B10" s="25">
        <v>0.0</v>
      </c>
      <c r="C10" s="25">
        <v>2.05E9</v>
      </c>
      <c r="D10" s="26">
        <f t="shared" si="1"/>
        <v>2050000000</v>
      </c>
      <c r="E10" s="25">
        <v>0.0</v>
      </c>
      <c r="F10" s="25">
        <v>2.05E9</v>
      </c>
      <c r="G10" s="26">
        <f t="shared" si="4"/>
        <v>2050000000</v>
      </c>
      <c r="H10" s="25">
        <v>0.0</v>
      </c>
      <c r="I10" s="25">
        <v>2.96190361888E9</v>
      </c>
      <c r="J10" s="26">
        <f t="shared" si="5"/>
        <v>2961903619</v>
      </c>
      <c r="K10" s="55" t="s">
        <v>25</v>
      </c>
      <c r="L10" s="52" t="s">
        <v>65</v>
      </c>
      <c r="M10" s="53"/>
      <c r="N10" s="53"/>
      <c r="O10" s="5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ht="143.25" customHeight="1">
      <c r="A11" s="24" t="s">
        <v>26</v>
      </c>
      <c r="B11" s="25">
        <v>0.0</v>
      </c>
      <c r="C11" s="25">
        <v>4.95E9</v>
      </c>
      <c r="D11" s="26">
        <f t="shared" si="1"/>
        <v>4950000000</v>
      </c>
      <c r="E11" s="25">
        <v>0.0</v>
      </c>
      <c r="F11" s="25">
        <v>4.95E9</v>
      </c>
      <c r="G11" s="26">
        <f t="shared" si="4"/>
        <v>4950000000</v>
      </c>
      <c r="H11" s="25">
        <v>0.0</v>
      </c>
      <c r="I11" s="25">
        <f>3644277537+(5*518269874.82)</f>
        <v>6235626911</v>
      </c>
      <c r="J11" s="26">
        <f t="shared" si="5"/>
        <v>6235626911</v>
      </c>
      <c r="K11" s="55" t="s">
        <v>27</v>
      </c>
      <c r="L11" s="52" t="s">
        <v>65</v>
      </c>
      <c r="M11" s="53"/>
      <c r="N11" s="53"/>
      <c r="O11" s="5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>
      <c r="A12" s="24" t="s">
        <v>28</v>
      </c>
      <c r="B12" s="25">
        <v>0.0</v>
      </c>
      <c r="C12" s="25">
        <v>3.65E9</v>
      </c>
      <c r="D12" s="26">
        <f t="shared" si="1"/>
        <v>3650000000</v>
      </c>
      <c r="E12" s="25">
        <v>0.0</v>
      </c>
      <c r="F12" s="25">
        <v>3.65E9</v>
      </c>
      <c r="G12" s="26">
        <f t="shared" si="4"/>
        <v>3650000000</v>
      </c>
      <c r="H12" s="25">
        <v>0.0</v>
      </c>
      <c r="I12" s="25">
        <v>4.53630352679E9</v>
      </c>
      <c r="J12" s="26">
        <f t="shared" si="5"/>
        <v>4536303527</v>
      </c>
      <c r="K12" s="55" t="s">
        <v>29</v>
      </c>
      <c r="L12" s="52" t="s">
        <v>65</v>
      </c>
      <c r="M12" s="53"/>
      <c r="N12" s="53"/>
      <c r="O12" s="5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>
      <c r="A13" s="24" t="s">
        <v>30</v>
      </c>
      <c r="B13" s="26">
        <v>1.35E8</v>
      </c>
      <c r="C13" s="25">
        <v>0.0</v>
      </c>
      <c r="D13" s="26">
        <f t="shared" si="1"/>
        <v>135000000</v>
      </c>
      <c r="E13" s="25">
        <v>1.35E8</v>
      </c>
      <c r="F13" s="25">
        <v>0.0</v>
      </c>
      <c r="G13" s="26">
        <f t="shared" si="4"/>
        <v>135000000</v>
      </c>
      <c r="H13" s="25">
        <v>1.6850415343E8</v>
      </c>
      <c r="I13" s="25">
        <v>0.0</v>
      </c>
      <c r="J13" s="26">
        <f t="shared" si="5"/>
        <v>168504153.4</v>
      </c>
      <c r="K13" s="55" t="s">
        <v>78</v>
      </c>
      <c r="L13" s="52" t="s">
        <v>67</v>
      </c>
      <c r="M13" s="53"/>
      <c r="N13" s="53"/>
      <c r="O13" s="53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>
      <c r="A14" s="24" t="s">
        <v>32</v>
      </c>
      <c r="B14" s="25">
        <v>0.0</v>
      </c>
      <c r="C14" s="25">
        <v>3.1E8</v>
      </c>
      <c r="D14" s="26">
        <f t="shared" si="1"/>
        <v>310000000</v>
      </c>
      <c r="E14" s="25">
        <v>0.0</v>
      </c>
      <c r="F14" s="25">
        <v>3.1E8</v>
      </c>
      <c r="G14" s="26">
        <f t="shared" si="4"/>
        <v>310000000</v>
      </c>
      <c r="H14" s="25">
        <v>0.0</v>
      </c>
      <c r="I14" s="25">
        <v>4.4327822094E8</v>
      </c>
      <c r="J14" s="26">
        <f t="shared" si="5"/>
        <v>443278220.9</v>
      </c>
      <c r="K14" s="55" t="s">
        <v>29</v>
      </c>
      <c r="L14" s="52" t="s">
        <v>65</v>
      </c>
      <c r="M14" s="53"/>
      <c r="N14" s="53"/>
      <c r="O14" s="53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>
      <c r="A15" s="35" t="s">
        <v>33</v>
      </c>
      <c r="B15" s="25">
        <v>6.0E8</v>
      </c>
      <c r="C15" s="25">
        <v>1.0E8</v>
      </c>
      <c r="D15" s="26">
        <f t="shared" si="1"/>
        <v>700000000</v>
      </c>
      <c r="E15" s="25">
        <v>6.0E8</v>
      </c>
      <c r="F15" s="25">
        <v>1.0E8</v>
      </c>
      <c r="G15" s="26">
        <f t="shared" si="4"/>
        <v>700000000</v>
      </c>
      <c r="H15" s="25">
        <v>6.0E8</v>
      </c>
      <c r="I15" s="25">
        <v>1.0E8</v>
      </c>
      <c r="J15" s="26">
        <f t="shared" si="5"/>
        <v>700000000</v>
      </c>
      <c r="K15" s="55" t="s">
        <v>79</v>
      </c>
      <c r="L15" s="52" t="s">
        <v>58</v>
      </c>
      <c r="M15" s="53"/>
      <c r="N15" s="53"/>
      <c r="O15" s="5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>
      <c r="A16" s="24" t="s">
        <v>35</v>
      </c>
      <c r="B16" s="26">
        <f>71040828+96619306</f>
        <v>167660134</v>
      </c>
      <c r="C16" s="25">
        <v>0.0</v>
      </c>
      <c r="D16" s="26">
        <f t="shared" si="1"/>
        <v>167660134</v>
      </c>
      <c r="E16" s="26">
        <f>71040828+96619306</f>
        <v>167660134</v>
      </c>
      <c r="F16" s="25">
        <v>0.0</v>
      </c>
      <c r="G16" s="26">
        <f t="shared" si="4"/>
        <v>167660134</v>
      </c>
      <c r="H16" s="26">
        <f>88671663.56+120598180.46</f>
        <v>209269844</v>
      </c>
      <c r="I16" s="25"/>
      <c r="J16" s="26">
        <f t="shared" si="5"/>
        <v>209269844</v>
      </c>
      <c r="K16" s="55" t="s">
        <v>78</v>
      </c>
      <c r="L16" s="52" t="s">
        <v>58</v>
      </c>
      <c r="M16" s="53"/>
      <c r="N16" s="53"/>
      <c r="O16" s="53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ht="15.75" customHeight="1">
      <c r="A17" s="38" t="s">
        <v>36</v>
      </c>
      <c r="B17" s="39">
        <f t="shared" ref="B17:E17" si="6">SUM(B4:B16)</f>
        <v>11327660134</v>
      </c>
      <c r="C17" s="39">
        <f t="shared" si="6"/>
        <v>18585000000</v>
      </c>
      <c r="D17" s="39">
        <f t="shared" si="6"/>
        <v>29912660134</v>
      </c>
      <c r="E17" s="39">
        <f t="shared" si="6"/>
        <v>7575585139</v>
      </c>
      <c r="F17" s="39">
        <f>SUM(F4:F16)+1726813797.04+733260124.99</f>
        <v>22337074995</v>
      </c>
      <c r="G17" s="39">
        <f t="shared" ref="G17:H17" si="7">SUM(G4:G16)</f>
        <v>29912660134</v>
      </c>
      <c r="H17" s="39">
        <f t="shared" si="7"/>
        <v>8526472028</v>
      </c>
      <c r="I17" s="39">
        <f>SUM(I4:I16)+1806048179.08+770968375.01</f>
        <v>27468376265</v>
      </c>
      <c r="J17" s="39">
        <f>SUM(J4:J16)</f>
        <v>35994848293</v>
      </c>
      <c r="K17" s="58"/>
      <c r="L17" s="52" t="s">
        <v>61</v>
      </c>
      <c r="M17" s="59"/>
      <c r="N17" s="59"/>
      <c r="O17" s="60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</row>
    <row r="18">
      <c r="A18" s="24" t="s">
        <v>37</v>
      </c>
      <c r="B18" s="25">
        <v>0.0</v>
      </c>
      <c r="C18" s="25">
        <v>1.5E9</v>
      </c>
      <c r="D18" s="26">
        <f t="shared" ref="D18:D21" si="8">SUM(B18:C18)</f>
        <v>1500000000</v>
      </c>
      <c r="E18" s="25">
        <v>0.0</v>
      </c>
      <c r="F18" s="25">
        <v>1.5E9</v>
      </c>
      <c r="G18" s="26">
        <f t="shared" ref="G18:G21" si="9">SUM(E18:F18)</f>
        <v>1500000000</v>
      </c>
      <c r="H18" s="25">
        <v>0.0</v>
      </c>
      <c r="I18" s="25">
        <v>1.5E9</v>
      </c>
      <c r="J18" s="26">
        <f t="shared" ref="J18:J21" si="10">SUM(H18:I18)</f>
        <v>1500000000</v>
      </c>
      <c r="K18" s="26"/>
      <c r="L18" s="61" t="s">
        <v>69</v>
      </c>
      <c r="M18" s="53"/>
      <c r="N18" s="53"/>
      <c r="O18" s="53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>
      <c r="A19" s="24" t="s">
        <v>38</v>
      </c>
      <c r="B19" s="26">
        <v>4.392583672E9</v>
      </c>
      <c r="C19" s="25">
        <v>0.0</v>
      </c>
      <c r="D19" s="26">
        <f t="shared" si="8"/>
        <v>4392583672</v>
      </c>
      <c r="E19" s="25">
        <v>4.392583672E9</v>
      </c>
      <c r="F19" s="25">
        <v>0.0</v>
      </c>
      <c r="G19" s="26">
        <f t="shared" si="9"/>
        <v>4392583672</v>
      </c>
      <c r="H19" s="25">
        <v>4.392583672E9</v>
      </c>
      <c r="I19" s="25">
        <v>0.0</v>
      </c>
      <c r="J19" s="26">
        <f t="shared" si="10"/>
        <v>4392583672</v>
      </c>
      <c r="K19" s="26"/>
      <c r="L19" s="61" t="s">
        <v>69</v>
      </c>
      <c r="M19" s="53"/>
      <c r="N19" s="53"/>
      <c r="O19" s="53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>
      <c r="A20" s="24" t="s">
        <v>39</v>
      </c>
      <c r="B20" s="26">
        <v>1.774471573E9</v>
      </c>
      <c r="C20" s="25">
        <v>0.0</v>
      </c>
      <c r="D20" s="26">
        <f t="shared" si="8"/>
        <v>1774471573</v>
      </c>
      <c r="E20" s="25">
        <v>1.774471573E9</v>
      </c>
      <c r="F20" s="25">
        <v>0.0</v>
      </c>
      <c r="G20" s="26">
        <f t="shared" si="9"/>
        <v>1774471573</v>
      </c>
      <c r="H20" s="25">
        <v>1.774471573E9</v>
      </c>
      <c r="I20" s="25">
        <v>0.0</v>
      </c>
      <c r="J20" s="26">
        <f t="shared" si="10"/>
        <v>1774471573</v>
      </c>
      <c r="K20" s="26"/>
      <c r="L20" s="61" t="s">
        <v>69</v>
      </c>
      <c r="M20" s="53"/>
      <c r="N20" s="53"/>
      <c r="O20" s="53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>
      <c r="A21" s="24" t="s">
        <v>40</v>
      </c>
      <c r="B21" s="25">
        <v>0.0</v>
      </c>
      <c r="C21" s="26">
        <v>1.1005195E8</v>
      </c>
      <c r="D21" s="26">
        <f t="shared" si="8"/>
        <v>110051950</v>
      </c>
      <c r="E21" s="25">
        <v>0.0</v>
      </c>
      <c r="F21" s="25">
        <v>1.1005195E8</v>
      </c>
      <c r="G21" s="26">
        <f t="shared" si="9"/>
        <v>110051950</v>
      </c>
      <c r="H21" s="25">
        <v>0.0</v>
      </c>
      <c r="I21" s="25">
        <v>1.1005195E8</v>
      </c>
      <c r="J21" s="26">
        <f t="shared" si="10"/>
        <v>110051950</v>
      </c>
      <c r="K21" s="26"/>
      <c r="L21" s="61" t="s">
        <v>69</v>
      </c>
      <c r="M21" s="53"/>
      <c r="N21" s="53"/>
      <c r="O21" s="53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ht="15.75" customHeight="1">
      <c r="A22" s="38" t="s">
        <v>41</v>
      </c>
      <c r="B22" s="39">
        <f t="shared" ref="B22:J22" si="11">SUM(B18:B21)</f>
        <v>6167055245</v>
      </c>
      <c r="C22" s="39">
        <f t="shared" si="11"/>
        <v>1610051950</v>
      </c>
      <c r="D22" s="39">
        <f t="shared" si="11"/>
        <v>7777107195</v>
      </c>
      <c r="E22" s="39">
        <f t="shared" si="11"/>
        <v>6167055245</v>
      </c>
      <c r="F22" s="39">
        <f t="shared" si="11"/>
        <v>1610051950</v>
      </c>
      <c r="G22" s="39">
        <f t="shared" si="11"/>
        <v>7777107195</v>
      </c>
      <c r="H22" s="39">
        <f t="shared" si="11"/>
        <v>6167055245</v>
      </c>
      <c r="I22" s="39">
        <f t="shared" si="11"/>
        <v>1610051950</v>
      </c>
      <c r="J22" s="39">
        <f t="shared" si="11"/>
        <v>7777107195</v>
      </c>
      <c r="K22" s="58"/>
      <c r="L22" s="61" t="s">
        <v>70</v>
      </c>
      <c r="M22" s="59"/>
      <c r="N22" s="59"/>
      <c r="O22" s="59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</row>
    <row r="23" ht="15.75" customHeight="1">
      <c r="A23" s="62" t="s">
        <v>42</v>
      </c>
      <c r="B23" s="63">
        <f t="shared" ref="B23:J23" si="12">B17+B22</f>
        <v>17494715379</v>
      </c>
      <c r="C23" s="63">
        <f t="shared" si="12"/>
        <v>20195051950</v>
      </c>
      <c r="D23" s="63">
        <f t="shared" si="12"/>
        <v>37689767329</v>
      </c>
      <c r="E23" s="63">
        <f t="shared" si="12"/>
        <v>13742640384</v>
      </c>
      <c r="F23" s="63">
        <f t="shared" si="12"/>
        <v>23947126945</v>
      </c>
      <c r="G23" s="63">
        <f t="shared" si="12"/>
        <v>37689767329</v>
      </c>
      <c r="H23" s="63">
        <f t="shared" si="12"/>
        <v>14693527273</v>
      </c>
      <c r="I23" s="63">
        <f t="shared" si="12"/>
        <v>29078428215</v>
      </c>
      <c r="J23" s="63">
        <f t="shared" si="12"/>
        <v>43771955488</v>
      </c>
      <c r="K23" s="26"/>
      <c r="L23" s="61" t="s">
        <v>70</v>
      </c>
      <c r="M23" s="53"/>
      <c r="N23" s="53"/>
      <c r="O23" s="53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ht="15.75" customHeight="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5"/>
      <c r="L24" s="66"/>
      <c r="M24" s="66"/>
      <c r="N24" s="66"/>
      <c r="O24" s="66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ht="15.7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2"/>
      <c r="L25" s="49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ht="15.75" customHeight="1">
      <c r="A26" s="48"/>
      <c r="B26" s="48"/>
      <c r="C26" s="48"/>
      <c r="D26" s="48"/>
      <c r="E26" s="48"/>
      <c r="F26" s="50"/>
      <c r="G26" s="48"/>
      <c r="H26" s="48"/>
      <c r="I26" s="50"/>
      <c r="J26" s="48"/>
      <c r="K26" s="2"/>
      <c r="L26" s="49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49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49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49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49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9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9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9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9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9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9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49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49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49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49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49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49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49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49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49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49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49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49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49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49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49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49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49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49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49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49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49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49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49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49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49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49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49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9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49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49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49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49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49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49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49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49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49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49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49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49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49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49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49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49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49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49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49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49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49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49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49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49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4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49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49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49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49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49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49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49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49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49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49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9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9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9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9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9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9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9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49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49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49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9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49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9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49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9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49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49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49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49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49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49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9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49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49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49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49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9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49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49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49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49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49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49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49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49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49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49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49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9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49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49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49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49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49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49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49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49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49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49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49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9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49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49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49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49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49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49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9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49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49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49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9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49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49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49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49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49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49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49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49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49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49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9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49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49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49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49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49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49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49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49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49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49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49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49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49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49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49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49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49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49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49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49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49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49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49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49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49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49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49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49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49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49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49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49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49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49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49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49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49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49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49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49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49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49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49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49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49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49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49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49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49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49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49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49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49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49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49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9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49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9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49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49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49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49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49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49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49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49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49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49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49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49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49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49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49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49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49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49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49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49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49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49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49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49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49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49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49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49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49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49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49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49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49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49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49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49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49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49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49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49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49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49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49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49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49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49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49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49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49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49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49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49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49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49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49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9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49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9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49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9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49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9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49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49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49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49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9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49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49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9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49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49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49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49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49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49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49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49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49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49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49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49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49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49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9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9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49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49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49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49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49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49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49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49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49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49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49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49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49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49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49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49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49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49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49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49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49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49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49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49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49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49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49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9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49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49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49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49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49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49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49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49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49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49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49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49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49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49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49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49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49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49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49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49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49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49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49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49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49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49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49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49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49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49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49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49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49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49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49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49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49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49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49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49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49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49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49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49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49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49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49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49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49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49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49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49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49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49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49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49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49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49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49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49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49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49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49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49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49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49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49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49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49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49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49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49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49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49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49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49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49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49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49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49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49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49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49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49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49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49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49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49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49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49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49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49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49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49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49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49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49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49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49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49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49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49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49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49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49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49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49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49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49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49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49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49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49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49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49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49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49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49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49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49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49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49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49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49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49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49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49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49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49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49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49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49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49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49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49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49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49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49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49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49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49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49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49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49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49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49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49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49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49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49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49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49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49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49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49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49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49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49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49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49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49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49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49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49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49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49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49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49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49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49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49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49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49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49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49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49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49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49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49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49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49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49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49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49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49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49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49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49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49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49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49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49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49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49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49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49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49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49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49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49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49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49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49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49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49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49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49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49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49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49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49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49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49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49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49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49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49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49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49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49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49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49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49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49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49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49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49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49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49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49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49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49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49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49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49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49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49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49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49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49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49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49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49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49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49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49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49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49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49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49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49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49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49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49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49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49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49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49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49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49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49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49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49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49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49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49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49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49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49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49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49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49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49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49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49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49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49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49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49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49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49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49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49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49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49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49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49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49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49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49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49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49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49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49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49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49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49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49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49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49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49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49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49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49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49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49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49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49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49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49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49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49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49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49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49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49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49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49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49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49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49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49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49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49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49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49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49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49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49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49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49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49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49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49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49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49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49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49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49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49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49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49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49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49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49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49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49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49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49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49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49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49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49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49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49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49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49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49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49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49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49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49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49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49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49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49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49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49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49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49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49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49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49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49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49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49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49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49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49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49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49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49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49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49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49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49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49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49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49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49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49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49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49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49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49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49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49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49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49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49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49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49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49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49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49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49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49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49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49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49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49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49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49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49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49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49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49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49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49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49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49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49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49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49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49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49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49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49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49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49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49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49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49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49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49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49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49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49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49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49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49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49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49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49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49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49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49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49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49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49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49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49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49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49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49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49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49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49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49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49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49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49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49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49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49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49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49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49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49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49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49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49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49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49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49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49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49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49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49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49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49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49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49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49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49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49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49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49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49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49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49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49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49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49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49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49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49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49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49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49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49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49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49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49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49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49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49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49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49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49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49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49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49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49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49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49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49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49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49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49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49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49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49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49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49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49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49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49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49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49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49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49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49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49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49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49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49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49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49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49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49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49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49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49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49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49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49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49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49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49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49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49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49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49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49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49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49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49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49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49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49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49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49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49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49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49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49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49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49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49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49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49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49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49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49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49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49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49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49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49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49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49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49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49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49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49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49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49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49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49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49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49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49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49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49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49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49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49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49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49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49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49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49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49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49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49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49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49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49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49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49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49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49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49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49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49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49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49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49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49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49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49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49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49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49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49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49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49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49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49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49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49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49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49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49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49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49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49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49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49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49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49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49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49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49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49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49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49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49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49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49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49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49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49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49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49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49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49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</sheetData>
  <mergeCells count="6">
    <mergeCell ref="A2:A3"/>
    <mergeCell ref="B2:D2"/>
    <mergeCell ref="E2:G2"/>
    <mergeCell ref="H2:J2"/>
    <mergeCell ref="K2:K3"/>
    <mergeCell ref="L2:L3"/>
  </mergeCells>
  <conditionalFormatting sqref="L4:L23">
    <cfRule type="notContainsBlanks" dxfId="4" priority="1">
      <formula>LEN(TRIM(L4))&gt;0</formula>
    </cfRule>
  </conditionalFormatting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39.88"/>
    <col customWidth="1" min="2" max="2" width="17.88"/>
    <col customWidth="1" min="3" max="3" width="18.75"/>
    <col customWidth="1" min="4" max="5" width="18.0"/>
    <col customWidth="1" min="6" max="6" width="18.75"/>
    <col customWidth="1" min="7" max="8" width="18.0"/>
    <col customWidth="1" min="9" max="9" width="18.75"/>
    <col customWidth="1" min="10" max="10" width="18.25"/>
    <col customWidth="1" min="11" max="11" width="40.38"/>
    <col customWidth="1" min="12" max="12" width="23.5"/>
    <col customWidth="1" min="13" max="13" width="18.13"/>
    <col customWidth="1" min="14" max="14" width="16.75"/>
    <col customWidth="1" min="15" max="15" width="10.63"/>
    <col customWidth="1" min="16" max="29" width="8.6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4.5" customHeight="1">
      <c r="A2" s="5" t="s">
        <v>0</v>
      </c>
      <c r="B2" s="6" t="s">
        <v>1</v>
      </c>
      <c r="C2" s="7"/>
      <c r="D2" s="8"/>
      <c r="E2" s="6" t="s">
        <v>80</v>
      </c>
      <c r="F2" s="7"/>
      <c r="G2" s="8"/>
      <c r="H2" s="9" t="s">
        <v>81</v>
      </c>
      <c r="I2" s="7"/>
      <c r="J2" s="8"/>
      <c r="K2" s="10" t="s">
        <v>4</v>
      </c>
      <c r="L2" s="51" t="s">
        <v>45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8.5" customHeight="1">
      <c r="A3" s="12"/>
      <c r="B3" s="13" t="s">
        <v>5</v>
      </c>
      <c r="C3" s="14" t="s">
        <v>6</v>
      </c>
      <c r="D3" s="15" t="s">
        <v>7</v>
      </c>
      <c r="E3" s="13" t="s">
        <v>5</v>
      </c>
      <c r="F3" s="14" t="s">
        <v>6</v>
      </c>
      <c r="G3" s="15" t="s">
        <v>7</v>
      </c>
      <c r="H3" s="13" t="s">
        <v>5</v>
      </c>
      <c r="I3" s="14" t="s">
        <v>6</v>
      </c>
      <c r="J3" s="15" t="s">
        <v>7</v>
      </c>
      <c r="K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>
      <c r="A4" s="16" t="s">
        <v>8</v>
      </c>
      <c r="B4" s="17">
        <v>0.0</v>
      </c>
      <c r="C4" s="18">
        <v>3.0E9</v>
      </c>
      <c r="D4" s="18">
        <f t="shared" ref="D4:D16" si="1">SUM(B4:C4)</f>
        <v>3000000000</v>
      </c>
      <c r="E4" s="19">
        <v>0.0</v>
      </c>
      <c r="F4" s="20">
        <v>3.0E9</v>
      </c>
      <c r="G4" s="18">
        <f t="shared" ref="G4:G5" si="2">SUM(E4:F4)</f>
        <v>3000000000</v>
      </c>
      <c r="H4" s="21"/>
      <c r="I4" s="22">
        <f>1766210022.45+1693108143.42</f>
        <v>3459318166</v>
      </c>
      <c r="J4" s="22">
        <f t="shared" ref="J4:J5" si="3">SUM(H4:I4)</f>
        <v>3459318166</v>
      </c>
      <c r="K4" s="23" t="s">
        <v>9</v>
      </c>
      <c r="L4" s="53" t="s">
        <v>69</v>
      </c>
      <c r="M4" s="53"/>
      <c r="N4" s="53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>
      <c r="A5" s="24" t="s">
        <v>10</v>
      </c>
      <c r="B5" s="25">
        <v>0.0</v>
      </c>
      <c r="C5" s="26">
        <v>4.4E9</v>
      </c>
      <c r="D5" s="26">
        <f t="shared" si="1"/>
        <v>4400000000</v>
      </c>
      <c r="E5" s="27">
        <v>0.0</v>
      </c>
      <c r="F5" s="28">
        <v>4.4E9</v>
      </c>
      <c r="G5" s="28">
        <f t="shared" si="2"/>
        <v>4400000000</v>
      </c>
      <c r="H5" s="28">
        <v>0.0</v>
      </c>
      <c r="I5" s="28">
        <f>2000000000+282312603.74+2325834136.37+8387.5+1068000000</f>
        <v>5676155128</v>
      </c>
      <c r="J5" s="28">
        <f t="shared" si="3"/>
        <v>5676155128</v>
      </c>
      <c r="K5" s="54" t="s">
        <v>82</v>
      </c>
      <c r="L5" s="53" t="s">
        <v>69</v>
      </c>
      <c r="M5" s="53"/>
      <c r="N5" s="53"/>
      <c r="O5" s="53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>
      <c r="A6" s="24" t="s">
        <v>12</v>
      </c>
      <c r="B6" s="30">
        <v>2.375E9</v>
      </c>
      <c r="C6" s="31">
        <v>1.25E8</v>
      </c>
      <c r="D6" s="31">
        <f t="shared" si="1"/>
        <v>2500000000</v>
      </c>
      <c r="E6" s="32">
        <v>7.8308622548E8</v>
      </c>
      <c r="F6" s="32" t="s">
        <v>83</v>
      </c>
      <c r="G6" s="32">
        <v>2.5E9</v>
      </c>
      <c r="H6" s="32">
        <v>1.32456404202E9</v>
      </c>
      <c r="I6" s="32" t="s">
        <v>84</v>
      </c>
      <c r="J6" s="28">
        <v>3.12107150007E9</v>
      </c>
      <c r="K6" s="32" t="s">
        <v>48</v>
      </c>
      <c r="L6" s="53" t="s">
        <v>69</v>
      </c>
      <c r="M6" s="53"/>
      <c r="N6" s="53"/>
      <c r="O6" s="5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>
      <c r="A7" s="24" t="s">
        <v>16</v>
      </c>
      <c r="B7" s="30">
        <v>1.5E9</v>
      </c>
      <c r="C7" s="25">
        <v>0.0</v>
      </c>
      <c r="D7" s="26">
        <f t="shared" si="1"/>
        <v>1500000000</v>
      </c>
      <c r="E7" s="32">
        <v>7.6673987501E8</v>
      </c>
      <c r="F7" s="32" t="s">
        <v>17</v>
      </c>
      <c r="G7" s="26">
        <v>1.5E9</v>
      </c>
      <c r="H7" s="26">
        <v>1.10152030051E9</v>
      </c>
      <c r="I7" s="32" t="s">
        <v>85</v>
      </c>
      <c r="J7" s="26">
        <v>1.87264290004E9</v>
      </c>
      <c r="K7" s="55" t="s">
        <v>51</v>
      </c>
      <c r="L7" s="53" t="s">
        <v>69</v>
      </c>
      <c r="M7" s="53"/>
      <c r="N7" s="53"/>
      <c r="O7" s="5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>
      <c r="A8" s="35" t="s">
        <v>20</v>
      </c>
      <c r="B8" s="25">
        <v>5.0E9</v>
      </c>
      <c r="C8" s="25">
        <v>0.0</v>
      </c>
      <c r="D8" s="26">
        <f t="shared" si="1"/>
        <v>5000000000</v>
      </c>
      <c r="E8" s="25">
        <v>5.0E9</v>
      </c>
      <c r="F8" s="25">
        <v>0.0</v>
      </c>
      <c r="G8" s="26">
        <f t="shared" ref="G8:G16" si="4">SUM(E8:F8)</f>
        <v>5000000000</v>
      </c>
      <c r="H8" s="25">
        <v>5.0E9</v>
      </c>
      <c r="I8" s="25">
        <v>0.0</v>
      </c>
      <c r="J8" s="26">
        <f t="shared" ref="J8:J16" si="5">SUM(H8:I8)</f>
        <v>5000000000</v>
      </c>
      <c r="K8" s="55" t="s">
        <v>21</v>
      </c>
      <c r="L8" s="53" t="s">
        <v>69</v>
      </c>
      <c r="M8" s="53"/>
      <c r="N8" s="53"/>
      <c r="O8" s="5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>
      <c r="A9" s="35" t="s">
        <v>22</v>
      </c>
      <c r="B9" s="25">
        <v>1.55E9</v>
      </c>
      <c r="C9" s="25">
        <v>0.0</v>
      </c>
      <c r="D9" s="26">
        <f t="shared" si="1"/>
        <v>1550000000</v>
      </c>
      <c r="E9" s="25">
        <f>1550000000-1417001073</f>
        <v>132998927</v>
      </c>
      <c r="F9" s="25">
        <v>1.417001073E9</v>
      </c>
      <c r="G9" s="26">
        <f t="shared" si="4"/>
        <v>1550000000</v>
      </c>
      <c r="H9" s="25">
        <v>1.32998927E8</v>
      </c>
      <c r="I9" s="25">
        <f>211773067.2+1247001073</f>
        <v>1458774140</v>
      </c>
      <c r="J9" s="26">
        <f t="shared" si="5"/>
        <v>1591773067</v>
      </c>
      <c r="K9" s="55" t="s">
        <v>77</v>
      </c>
      <c r="L9" s="53" t="s">
        <v>69</v>
      </c>
      <c r="M9" s="53"/>
      <c r="N9" s="53"/>
      <c r="O9" s="5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>
      <c r="A10" s="24" t="s">
        <v>24</v>
      </c>
      <c r="B10" s="25">
        <v>0.0</v>
      </c>
      <c r="C10" s="25">
        <v>2.05E9</v>
      </c>
      <c r="D10" s="26">
        <f t="shared" si="1"/>
        <v>2050000000</v>
      </c>
      <c r="E10" s="25">
        <v>0.0</v>
      </c>
      <c r="F10" s="25">
        <v>2.05E9</v>
      </c>
      <c r="G10" s="26">
        <f t="shared" si="4"/>
        <v>2050000000</v>
      </c>
      <c r="H10" s="25">
        <v>0.0</v>
      </c>
      <c r="I10" s="25">
        <v>2.93691090355E9</v>
      </c>
      <c r="J10" s="26">
        <f t="shared" si="5"/>
        <v>2936910904</v>
      </c>
      <c r="K10" s="55" t="s">
        <v>25</v>
      </c>
      <c r="L10" s="53" t="s">
        <v>69</v>
      </c>
      <c r="M10" s="53"/>
      <c r="N10" s="53"/>
      <c r="O10" s="5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ht="143.25" customHeight="1">
      <c r="A11" s="24" t="s">
        <v>26</v>
      </c>
      <c r="B11" s="25">
        <v>0.0</v>
      </c>
      <c r="C11" s="25">
        <v>4.95E9</v>
      </c>
      <c r="D11" s="26">
        <f t="shared" si="1"/>
        <v>4950000000</v>
      </c>
      <c r="E11" s="25">
        <v>0.0</v>
      </c>
      <c r="F11" s="25">
        <v>4.95E9</v>
      </c>
      <c r="G11" s="26">
        <f t="shared" si="4"/>
        <v>4950000000</v>
      </c>
      <c r="H11" s="25">
        <v>0.0</v>
      </c>
      <c r="I11" s="25">
        <f>3627331328.18+(5*518269874.82)</f>
        <v>6218680702</v>
      </c>
      <c r="J11" s="26">
        <f t="shared" si="5"/>
        <v>6218680702</v>
      </c>
      <c r="K11" s="55" t="s">
        <v>27</v>
      </c>
      <c r="L11" s="53" t="s">
        <v>69</v>
      </c>
      <c r="M11" s="53"/>
      <c r="N11" s="53"/>
      <c r="O11" s="5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>
      <c r="A12" s="24" t="s">
        <v>28</v>
      </c>
      <c r="B12" s="25">
        <v>0.0</v>
      </c>
      <c r="C12" s="25">
        <v>3.65E9</v>
      </c>
      <c r="D12" s="26">
        <f t="shared" si="1"/>
        <v>3650000000</v>
      </c>
      <c r="E12" s="25">
        <v>0.0</v>
      </c>
      <c r="F12" s="25">
        <v>3.65E9</v>
      </c>
      <c r="G12" s="26">
        <f t="shared" si="4"/>
        <v>3650000000</v>
      </c>
      <c r="H12" s="25">
        <v>0.0</v>
      </c>
      <c r="I12" s="25">
        <v>4.51610783219E9</v>
      </c>
      <c r="J12" s="26">
        <f t="shared" si="5"/>
        <v>4516107832</v>
      </c>
      <c r="K12" s="55" t="s">
        <v>29</v>
      </c>
      <c r="L12" s="53" t="s">
        <v>69</v>
      </c>
      <c r="M12" s="53"/>
      <c r="N12" s="53"/>
      <c r="O12" s="5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>
      <c r="A13" s="24" t="s">
        <v>30</v>
      </c>
      <c r="B13" s="26">
        <v>1.35E8</v>
      </c>
      <c r="C13" s="25">
        <v>0.0</v>
      </c>
      <c r="D13" s="26">
        <f t="shared" si="1"/>
        <v>135000000</v>
      </c>
      <c r="E13" s="25">
        <v>1.35E8</v>
      </c>
      <c r="F13" s="25">
        <v>0.0</v>
      </c>
      <c r="G13" s="26">
        <f t="shared" si="4"/>
        <v>135000000</v>
      </c>
      <c r="H13" s="25">
        <v>1.68537861E8</v>
      </c>
      <c r="I13" s="25">
        <v>0.0</v>
      </c>
      <c r="J13" s="26">
        <f t="shared" si="5"/>
        <v>168537861</v>
      </c>
      <c r="K13" s="55" t="s">
        <v>86</v>
      </c>
      <c r="L13" s="53" t="s">
        <v>69</v>
      </c>
      <c r="M13" s="53"/>
      <c r="N13" s="53"/>
      <c r="O13" s="53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>
      <c r="A14" s="24" t="s">
        <v>32</v>
      </c>
      <c r="B14" s="25">
        <v>0.0</v>
      </c>
      <c r="C14" s="25">
        <v>3.1E8</v>
      </c>
      <c r="D14" s="26">
        <f t="shared" si="1"/>
        <v>310000000</v>
      </c>
      <c r="E14" s="25">
        <v>0.0</v>
      </c>
      <c r="F14" s="25">
        <v>3.1E8</v>
      </c>
      <c r="G14" s="26">
        <f t="shared" si="4"/>
        <v>310000000</v>
      </c>
      <c r="H14" s="25">
        <v>0.0</v>
      </c>
      <c r="I14" s="25">
        <v>4.3985343414E8</v>
      </c>
      <c r="J14" s="26">
        <f t="shared" si="5"/>
        <v>439853434.1</v>
      </c>
      <c r="K14" s="55" t="s">
        <v>29</v>
      </c>
      <c r="L14" s="53" t="s">
        <v>69</v>
      </c>
      <c r="M14" s="53"/>
      <c r="N14" s="53"/>
      <c r="O14" s="53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>
      <c r="A15" s="35" t="s">
        <v>33</v>
      </c>
      <c r="B15" s="25">
        <v>6.0E8</v>
      </c>
      <c r="C15" s="25">
        <v>1.0E8</v>
      </c>
      <c r="D15" s="26">
        <f t="shared" si="1"/>
        <v>700000000</v>
      </c>
      <c r="E15" s="25">
        <v>6.0E8</v>
      </c>
      <c r="F15" s="25">
        <v>1.0E8</v>
      </c>
      <c r="G15" s="26">
        <f t="shared" si="4"/>
        <v>700000000</v>
      </c>
      <c r="H15" s="25">
        <v>6.0E8</v>
      </c>
      <c r="I15" s="25">
        <v>1.0E8</v>
      </c>
      <c r="J15" s="26">
        <f t="shared" si="5"/>
        <v>700000000</v>
      </c>
      <c r="K15" s="55" t="s">
        <v>87</v>
      </c>
      <c r="L15" s="53" t="s">
        <v>69</v>
      </c>
      <c r="M15" s="53"/>
      <c r="N15" s="53"/>
      <c r="O15" s="5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>
      <c r="A16" s="24" t="s">
        <v>35</v>
      </c>
      <c r="B16" s="26">
        <f>71040828+96619306</f>
        <v>167660134</v>
      </c>
      <c r="C16" s="25">
        <v>0.0</v>
      </c>
      <c r="D16" s="26">
        <f t="shared" si="1"/>
        <v>167660134</v>
      </c>
      <c r="E16" s="26">
        <f>71040828+96619306</f>
        <v>167660134</v>
      </c>
      <c r="F16" s="25">
        <v>0.0</v>
      </c>
      <c r="G16" s="26">
        <f t="shared" si="4"/>
        <v>167660134</v>
      </c>
      <c r="H16" s="26">
        <f>88689401.44+120622304.93</f>
        <v>209311706.4</v>
      </c>
      <c r="I16" s="25"/>
      <c r="J16" s="26">
        <f t="shared" si="5"/>
        <v>209311706.4</v>
      </c>
      <c r="K16" s="55" t="s">
        <v>86</v>
      </c>
      <c r="L16" s="53" t="s">
        <v>69</v>
      </c>
      <c r="M16" s="53"/>
      <c r="N16" s="53"/>
      <c r="O16" s="53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ht="15.75" customHeight="1">
      <c r="A17" s="38" t="s">
        <v>36</v>
      </c>
      <c r="B17" s="39">
        <f t="shared" ref="B17:E17" si="6">SUM(B4:B16)</f>
        <v>11327660134</v>
      </c>
      <c r="C17" s="39">
        <f t="shared" si="6"/>
        <v>18585000000</v>
      </c>
      <c r="D17" s="39">
        <f t="shared" si="6"/>
        <v>29912660134</v>
      </c>
      <c r="E17" s="39">
        <f t="shared" si="6"/>
        <v>7585485161</v>
      </c>
      <c r="F17" s="39">
        <f>SUM(F4:F16)+1716913774.52+733260124.99</f>
        <v>22327174973</v>
      </c>
      <c r="G17" s="39">
        <f t="shared" ref="G17:H17" si="7">SUM(G4:G16)</f>
        <v>29912660134</v>
      </c>
      <c r="H17" s="39">
        <f t="shared" si="7"/>
        <v>8536932837</v>
      </c>
      <c r="I17" s="39">
        <f>SUM(I4:I16)+1796507458.05+771122599.53</f>
        <v>27373430363</v>
      </c>
      <c r="J17" s="39">
        <f>SUM(J4:J16)</f>
        <v>35910363200</v>
      </c>
      <c r="K17" s="58"/>
      <c r="L17" s="53" t="s">
        <v>69</v>
      </c>
      <c r="M17" s="59"/>
      <c r="N17" s="59"/>
      <c r="O17" s="60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</row>
    <row r="18">
      <c r="A18" s="24" t="s">
        <v>37</v>
      </c>
      <c r="B18" s="25">
        <v>0.0</v>
      </c>
      <c r="C18" s="25">
        <v>1.5E9</v>
      </c>
      <c r="D18" s="26">
        <f t="shared" ref="D18:D21" si="8">SUM(B18:C18)</f>
        <v>1500000000</v>
      </c>
      <c r="E18" s="25">
        <v>0.0</v>
      </c>
      <c r="F18" s="25">
        <v>1.5E9</v>
      </c>
      <c r="G18" s="26">
        <f t="shared" ref="G18:G21" si="9">SUM(E18:F18)</f>
        <v>1500000000</v>
      </c>
      <c r="H18" s="25">
        <v>0.0</v>
      </c>
      <c r="I18" s="25">
        <v>1.5E9</v>
      </c>
      <c r="J18" s="26">
        <f t="shared" ref="J18:J21" si="10">SUM(H18:I18)</f>
        <v>1500000000</v>
      </c>
      <c r="K18" s="26"/>
      <c r="L18" s="53" t="s">
        <v>69</v>
      </c>
      <c r="M18" s="53"/>
      <c r="N18" s="53"/>
      <c r="O18" s="53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>
      <c r="A19" s="24" t="s">
        <v>38</v>
      </c>
      <c r="B19" s="26">
        <v>4.392583672E9</v>
      </c>
      <c r="C19" s="25">
        <v>0.0</v>
      </c>
      <c r="D19" s="26">
        <f t="shared" si="8"/>
        <v>4392583672</v>
      </c>
      <c r="E19" s="25">
        <v>4.392583672E9</v>
      </c>
      <c r="F19" s="25">
        <v>0.0</v>
      </c>
      <c r="G19" s="26">
        <f t="shared" si="9"/>
        <v>4392583672</v>
      </c>
      <c r="H19" s="25">
        <v>4.392583672E9</v>
      </c>
      <c r="I19" s="25">
        <v>0.0</v>
      </c>
      <c r="J19" s="26">
        <f t="shared" si="10"/>
        <v>4392583672</v>
      </c>
      <c r="K19" s="26"/>
      <c r="L19" s="53" t="s">
        <v>69</v>
      </c>
      <c r="M19" s="53"/>
      <c r="N19" s="53"/>
      <c r="O19" s="53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>
      <c r="A20" s="24" t="s">
        <v>39</v>
      </c>
      <c r="B20" s="26">
        <v>1.774471573E9</v>
      </c>
      <c r="C20" s="25">
        <v>0.0</v>
      </c>
      <c r="D20" s="26">
        <f t="shared" si="8"/>
        <v>1774471573</v>
      </c>
      <c r="E20" s="25">
        <v>1.774471573E9</v>
      </c>
      <c r="F20" s="25">
        <v>0.0</v>
      </c>
      <c r="G20" s="26">
        <f t="shared" si="9"/>
        <v>1774471573</v>
      </c>
      <c r="H20" s="25">
        <v>1.774471573E9</v>
      </c>
      <c r="I20" s="25">
        <v>0.0</v>
      </c>
      <c r="J20" s="26">
        <f t="shared" si="10"/>
        <v>1774471573</v>
      </c>
      <c r="K20" s="26"/>
      <c r="L20" s="53" t="s">
        <v>69</v>
      </c>
      <c r="M20" s="53"/>
      <c r="N20" s="53"/>
      <c r="O20" s="53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>
      <c r="A21" s="24" t="s">
        <v>40</v>
      </c>
      <c r="B21" s="25">
        <v>0.0</v>
      </c>
      <c r="C21" s="26">
        <v>1.1005195E8</v>
      </c>
      <c r="D21" s="26">
        <f t="shared" si="8"/>
        <v>110051950</v>
      </c>
      <c r="E21" s="25">
        <v>0.0</v>
      </c>
      <c r="F21" s="25">
        <v>1.1005195E8</v>
      </c>
      <c r="G21" s="26">
        <f t="shared" si="9"/>
        <v>110051950</v>
      </c>
      <c r="H21" s="25">
        <v>0.0</v>
      </c>
      <c r="I21" s="25">
        <v>1.1005195E8</v>
      </c>
      <c r="J21" s="26">
        <f t="shared" si="10"/>
        <v>110051950</v>
      </c>
      <c r="K21" s="26"/>
      <c r="L21" s="53" t="s">
        <v>69</v>
      </c>
      <c r="M21" s="53"/>
      <c r="N21" s="53"/>
      <c r="O21" s="53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ht="15.75" customHeight="1">
      <c r="A22" s="38" t="s">
        <v>41</v>
      </c>
      <c r="B22" s="39">
        <f t="shared" ref="B22:J22" si="11">SUM(B18:B21)</f>
        <v>6167055245</v>
      </c>
      <c r="C22" s="39">
        <f t="shared" si="11"/>
        <v>1610051950</v>
      </c>
      <c r="D22" s="39">
        <f t="shared" si="11"/>
        <v>7777107195</v>
      </c>
      <c r="E22" s="39">
        <f t="shared" si="11"/>
        <v>6167055245</v>
      </c>
      <c r="F22" s="39">
        <f t="shared" si="11"/>
        <v>1610051950</v>
      </c>
      <c r="G22" s="39">
        <f t="shared" si="11"/>
        <v>7777107195</v>
      </c>
      <c r="H22" s="39">
        <f t="shared" si="11"/>
        <v>6167055245</v>
      </c>
      <c r="I22" s="39">
        <f t="shared" si="11"/>
        <v>1610051950</v>
      </c>
      <c r="J22" s="39">
        <f t="shared" si="11"/>
        <v>7777107195</v>
      </c>
      <c r="K22" s="58"/>
      <c r="L22" s="53" t="s">
        <v>69</v>
      </c>
      <c r="M22" s="59"/>
      <c r="N22" s="59"/>
      <c r="O22" s="59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</row>
    <row r="23" ht="15.75" customHeight="1">
      <c r="A23" s="62" t="s">
        <v>42</v>
      </c>
      <c r="B23" s="63">
        <f t="shared" ref="B23:J23" si="12">B17+B22</f>
        <v>17494715379</v>
      </c>
      <c r="C23" s="63">
        <f t="shared" si="12"/>
        <v>20195051950</v>
      </c>
      <c r="D23" s="63">
        <f t="shared" si="12"/>
        <v>37689767329</v>
      </c>
      <c r="E23" s="63">
        <f t="shared" si="12"/>
        <v>13752540406</v>
      </c>
      <c r="F23" s="63">
        <f t="shared" si="12"/>
        <v>23937226923</v>
      </c>
      <c r="G23" s="63">
        <f t="shared" si="12"/>
        <v>37689767329</v>
      </c>
      <c r="H23" s="63">
        <f t="shared" si="12"/>
        <v>14703988082</v>
      </c>
      <c r="I23" s="63">
        <f t="shared" si="12"/>
        <v>28983482313</v>
      </c>
      <c r="J23" s="63">
        <f t="shared" si="12"/>
        <v>43687470395</v>
      </c>
      <c r="K23" s="26"/>
      <c r="L23" s="53" t="s">
        <v>69</v>
      </c>
      <c r="M23" s="53"/>
      <c r="N23" s="53"/>
      <c r="O23" s="53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ht="15.75" customHeight="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5"/>
      <c r="L24" s="66"/>
      <c r="M24" s="66"/>
      <c r="N24" s="66"/>
      <c r="O24" s="66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ht="15.7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2"/>
      <c r="L25" s="49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ht="15.75" customHeight="1">
      <c r="A26" s="48"/>
      <c r="B26" s="48"/>
      <c r="C26" s="48"/>
      <c r="D26" s="48"/>
      <c r="E26" s="48"/>
      <c r="F26" s="50"/>
      <c r="G26" s="48"/>
      <c r="H26" s="48"/>
      <c r="I26" s="50"/>
      <c r="J26" s="48"/>
      <c r="K26" s="2"/>
      <c r="L26" s="49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49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49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49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49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9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9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9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9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9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9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49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49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49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49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49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49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49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49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49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49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49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49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49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49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49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49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49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49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49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49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49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49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49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49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49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49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49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9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49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49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49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49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49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49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49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49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49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49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49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49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49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49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49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49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49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49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49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49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49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49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49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49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4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49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49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49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49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49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49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49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49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49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49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9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9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9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9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9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9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9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49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49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49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9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49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9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49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9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49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49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49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49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49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49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9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49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49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49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49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9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49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49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49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49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49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49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49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49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49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49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49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9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49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49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49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49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49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49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49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49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49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49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49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9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49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49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49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49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49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49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9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49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49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49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9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49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49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49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49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49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49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49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49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49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49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9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49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49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49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49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49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49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49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49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49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49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49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49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49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49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49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49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49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49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49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49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49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49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49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49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49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49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49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49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49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49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49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49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49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49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49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49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49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49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49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49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49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49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49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49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49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49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49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49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49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49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49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49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49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49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49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9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49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9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49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49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49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49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49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49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49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49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49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49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49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49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49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49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49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49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49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49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49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49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49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49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49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49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49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49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49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49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49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49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49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49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49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49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49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49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49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49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49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49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49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49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49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49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49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49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49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49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49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49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49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49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49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49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49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9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49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9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49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9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49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9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49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49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49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49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9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49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49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9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49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49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49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49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49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49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49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49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49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49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49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49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49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49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9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9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49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49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49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49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49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49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49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49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49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49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49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49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49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49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49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49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49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49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49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49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49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49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49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49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49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49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49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9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49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49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49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49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49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49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49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49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49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49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49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49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49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49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49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49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49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49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49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49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49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49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49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49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49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49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49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49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49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49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49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49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49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49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49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49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49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49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49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49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49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49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49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49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49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49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49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49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49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49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49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49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49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49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49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49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49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49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49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49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49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49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49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49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49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49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49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49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49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49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49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49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49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49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49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49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49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49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49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49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49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49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49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49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49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49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49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49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49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49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49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49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49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49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49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49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49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49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49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49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49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49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49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49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49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49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49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49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49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49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49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49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49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49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49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49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49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49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49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49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49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49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49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49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49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49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49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49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49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49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49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49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49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49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49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49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49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49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49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49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49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49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49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49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49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49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49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49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49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49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49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49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49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49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49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49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49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49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49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49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49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49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49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49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49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49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49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49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49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49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49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49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49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49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49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49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49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49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49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49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49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49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49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49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49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49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49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49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49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49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49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49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49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49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49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49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49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49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49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49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49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49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49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49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49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49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49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49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49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49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49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49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49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49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49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49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49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49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49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49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49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49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49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49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49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49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49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49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49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49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49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49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49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49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49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49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49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49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49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49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49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49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49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49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49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49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49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49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49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49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49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49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49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49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49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49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49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49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49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49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49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49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49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49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49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49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49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49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49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49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49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49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49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49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49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49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49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49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49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49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49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49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49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49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49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49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49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49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49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49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49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49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49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49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49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49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49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49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49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49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49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49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49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49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49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49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49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49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49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49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49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49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49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49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49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49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49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49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49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49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49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49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49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49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49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49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49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49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49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49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49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49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49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49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49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49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49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49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49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49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49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49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49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49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49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49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49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49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49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49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49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49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49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49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49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49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49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49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49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49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49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49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49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49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49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49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49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49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49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49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49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49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49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49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49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49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49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49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49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49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49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49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49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49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49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49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49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49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49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49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49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49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49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49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49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49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49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49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49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49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49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49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49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49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49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49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49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49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49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49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49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49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49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49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49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49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49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49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49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49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49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49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49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49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49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49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49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49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49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49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49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49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49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49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49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49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49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49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49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49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49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49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49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49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49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49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49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49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49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49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49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49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49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49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49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49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49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49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49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49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49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49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49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49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49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49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49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49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49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49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49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49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49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49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49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49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49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49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49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49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49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49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49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49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49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49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49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49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49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49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49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49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49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49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49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49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49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49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49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49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49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49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49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49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49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49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49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49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49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49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49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49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49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49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49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49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49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49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49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49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49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49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49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49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49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49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49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49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49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49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49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49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49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49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49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49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49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49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49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49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49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49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49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49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49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49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49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49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49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49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49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49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49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49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49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49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49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49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49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49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49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49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49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49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49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49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49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49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49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49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49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49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49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49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49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49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49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49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49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49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49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49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49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49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49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49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49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49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49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49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49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49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49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49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49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49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49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49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49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49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49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49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49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49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49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49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49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49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49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49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49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49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49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49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49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49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49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49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49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49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49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49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49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49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49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49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49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49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49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49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49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49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49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49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49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49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49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49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49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49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49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49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49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49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49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49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49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49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49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49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49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49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49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49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49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49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49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49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</sheetData>
  <mergeCells count="6">
    <mergeCell ref="A2:A3"/>
    <mergeCell ref="B2:D2"/>
    <mergeCell ref="E2:G2"/>
    <mergeCell ref="H2:J2"/>
    <mergeCell ref="K2:K3"/>
    <mergeCell ref="L2:L3"/>
  </mergeCells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39.88"/>
    <col customWidth="1" min="2" max="2" width="17.88"/>
    <col customWidth="1" min="3" max="3" width="18.75"/>
    <col customWidth="1" min="4" max="5" width="18.0"/>
    <col customWidth="1" min="6" max="6" width="18.75"/>
    <col customWidth="1" min="7" max="8" width="18.0"/>
    <col customWidth="1" min="9" max="9" width="18.75"/>
    <col customWidth="1" min="10" max="10" width="18.25"/>
    <col customWidth="1" min="11" max="11" width="40.38"/>
    <col customWidth="1" min="12" max="12" width="23.5"/>
    <col customWidth="1" min="13" max="13" width="18.13"/>
    <col customWidth="1" min="14" max="14" width="16.75"/>
    <col customWidth="1" min="15" max="15" width="10.63"/>
    <col customWidth="1" min="16" max="29" width="8.6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4.5" customHeight="1">
      <c r="A2" s="5" t="s">
        <v>0</v>
      </c>
      <c r="B2" s="6" t="s">
        <v>1</v>
      </c>
      <c r="C2" s="7"/>
      <c r="D2" s="8"/>
      <c r="E2" s="6" t="s">
        <v>88</v>
      </c>
      <c r="F2" s="7"/>
      <c r="G2" s="8"/>
      <c r="H2" s="9" t="s">
        <v>89</v>
      </c>
      <c r="I2" s="7"/>
      <c r="J2" s="8"/>
      <c r="K2" s="10" t="s">
        <v>4</v>
      </c>
      <c r="L2" s="51" t="s">
        <v>45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8.5" customHeight="1">
      <c r="A3" s="12"/>
      <c r="B3" s="13" t="s">
        <v>5</v>
      </c>
      <c r="C3" s="14" t="s">
        <v>6</v>
      </c>
      <c r="D3" s="15" t="s">
        <v>7</v>
      </c>
      <c r="E3" s="13" t="s">
        <v>5</v>
      </c>
      <c r="F3" s="14" t="s">
        <v>6</v>
      </c>
      <c r="G3" s="15" t="s">
        <v>7</v>
      </c>
      <c r="H3" s="13" t="s">
        <v>5</v>
      </c>
      <c r="I3" s="14" t="s">
        <v>6</v>
      </c>
      <c r="J3" s="15" t="s">
        <v>7</v>
      </c>
      <c r="K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>
      <c r="A4" s="16" t="s">
        <v>8</v>
      </c>
      <c r="B4" s="17">
        <v>0.0</v>
      </c>
      <c r="C4" s="18">
        <v>3.0E9</v>
      </c>
      <c r="D4" s="18">
        <f t="shared" ref="D4:D16" si="1">SUM(B4:C4)</f>
        <v>3000000000</v>
      </c>
      <c r="E4" s="19">
        <v>0.0</v>
      </c>
      <c r="F4" s="20">
        <v>3.0E9</v>
      </c>
      <c r="G4" s="18">
        <f t="shared" ref="G4:G5" si="2">SUM(E4:F4)</f>
        <v>3000000000</v>
      </c>
      <c r="H4" s="21"/>
      <c r="I4" s="22">
        <f>1766210022.45+1693108143.42</f>
        <v>3459318166</v>
      </c>
      <c r="J4" s="22">
        <f t="shared" ref="J4:J5" si="3">SUM(H4:I4)</f>
        <v>3459318166</v>
      </c>
      <c r="K4" s="23" t="s">
        <v>9</v>
      </c>
      <c r="L4" s="53" t="s">
        <v>69</v>
      </c>
      <c r="M4" s="53"/>
      <c r="N4" s="53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>
      <c r="A5" s="24" t="s">
        <v>10</v>
      </c>
      <c r="B5" s="25">
        <v>0.0</v>
      </c>
      <c r="C5" s="26">
        <v>4.4E9</v>
      </c>
      <c r="D5" s="26">
        <f t="shared" si="1"/>
        <v>4400000000</v>
      </c>
      <c r="E5" s="27">
        <v>0.0</v>
      </c>
      <c r="F5" s="28">
        <v>4.4E9</v>
      </c>
      <c r="G5" s="28">
        <f t="shared" si="2"/>
        <v>4400000000</v>
      </c>
      <c r="H5" s="28">
        <v>0.0</v>
      </c>
      <c r="I5" s="28">
        <f>2000000000+282312603.74+2325834136.37+8387.5+1046000000</f>
        <v>5654155128</v>
      </c>
      <c r="J5" s="28">
        <f t="shared" si="3"/>
        <v>5654155128</v>
      </c>
      <c r="K5" s="54" t="s">
        <v>90</v>
      </c>
      <c r="L5" s="53" t="s">
        <v>69</v>
      </c>
      <c r="M5" s="53"/>
      <c r="N5" s="53"/>
      <c r="O5" s="53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>
      <c r="A6" s="24" t="s">
        <v>12</v>
      </c>
      <c r="B6" s="30">
        <v>2.375E9</v>
      </c>
      <c r="C6" s="31">
        <v>1.25E8</v>
      </c>
      <c r="D6" s="31">
        <f t="shared" si="1"/>
        <v>2500000000</v>
      </c>
      <c r="E6" s="32">
        <v>7.8308622548E8</v>
      </c>
      <c r="F6" s="32" t="s">
        <v>83</v>
      </c>
      <c r="G6" s="32">
        <v>2.5E9</v>
      </c>
      <c r="H6" s="32">
        <v>1.31938963905E9</v>
      </c>
      <c r="I6" s="32" t="s">
        <v>91</v>
      </c>
      <c r="J6" s="32">
        <v>3.10925632603E9</v>
      </c>
      <c r="K6" s="32" t="s">
        <v>48</v>
      </c>
      <c r="L6" s="53" t="s">
        <v>92</v>
      </c>
      <c r="M6" s="53"/>
      <c r="N6" s="53"/>
      <c r="O6" s="5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>
      <c r="A7" s="24" t="s">
        <v>16</v>
      </c>
      <c r="B7" s="30">
        <v>1.5E9</v>
      </c>
      <c r="C7" s="25">
        <v>0.0</v>
      </c>
      <c r="D7" s="26">
        <f t="shared" si="1"/>
        <v>1500000000</v>
      </c>
      <c r="E7" s="32">
        <v>7.6673987501E8</v>
      </c>
      <c r="F7" s="32" t="s">
        <v>17</v>
      </c>
      <c r="G7" s="26">
        <v>1.5E9</v>
      </c>
      <c r="H7" s="25">
        <v>1.09735036911E9</v>
      </c>
      <c r="I7" s="32" t="s">
        <v>93</v>
      </c>
      <c r="J7" s="32">
        <v>1.86555379562E9</v>
      </c>
      <c r="K7" s="55" t="s">
        <v>51</v>
      </c>
      <c r="L7" s="53" t="s">
        <v>92</v>
      </c>
      <c r="M7" s="53"/>
      <c r="N7" s="53"/>
      <c r="O7" s="5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>
      <c r="A8" s="35" t="s">
        <v>20</v>
      </c>
      <c r="B8" s="25">
        <v>5.0E9</v>
      </c>
      <c r="C8" s="25">
        <v>0.0</v>
      </c>
      <c r="D8" s="26">
        <f t="shared" si="1"/>
        <v>5000000000</v>
      </c>
      <c r="E8" s="25">
        <v>5.0E9</v>
      </c>
      <c r="F8" s="25">
        <v>0.0</v>
      </c>
      <c r="G8" s="26">
        <f t="shared" ref="G8:G16" si="4">SUM(E8:F8)</f>
        <v>5000000000</v>
      </c>
      <c r="H8" s="25">
        <v>5.0E9</v>
      </c>
      <c r="I8" s="25">
        <v>0.0</v>
      </c>
      <c r="J8" s="26">
        <f t="shared" ref="J8:J16" si="5">SUM(H8:I8)</f>
        <v>5000000000</v>
      </c>
      <c r="K8" s="55" t="s">
        <v>21</v>
      </c>
      <c r="L8" s="53" t="s">
        <v>69</v>
      </c>
      <c r="M8" s="53"/>
      <c r="N8" s="53"/>
      <c r="O8" s="5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>
      <c r="A9" s="35" t="s">
        <v>22</v>
      </c>
      <c r="B9" s="25">
        <v>1.55E9</v>
      </c>
      <c r="C9" s="25">
        <v>0.0</v>
      </c>
      <c r="D9" s="26">
        <f t="shared" si="1"/>
        <v>1550000000</v>
      </c>
      <c r="E9" s="25">
        <f>1550000000-1417001073</f>
        <v>132998927</v>
      </c>
      <c r="F9" s="25">
        <v>1.417001073E9</v>
      </c>
      <c r="G9" s="26">
        <f t="shared" si="4"/>
        <v>1550000000</v>
      </c>
      <c r="H9" s="25">
        <v>1.32998927E8</v>
      </c>
      <c r="I9" s="25">
        <f>211773067.2+1247001073</f>
        <v>1458774140</v>
      </c>
      <c r="J9" s="26">
        <f t="shared" si="5"/>
        <v>1591773067</v>
      </c>
      <c r="K9" s="55" t="s">
        <v>77</v>
      </c>
      <c r="L9" s="53" t="s">
        <v>69</v>
      </c>
      <c r="M9" s="53"/>
      <c r="N9" s="53"/>
      <c r="O9" s="53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>
      <c r="A10" s="24" t="s">
        <v>24</v>
      </c>
      <c r="B10" s="25">
        <v>0.0</v>
      </c>
      <c r="C10" s="25">
        <v>2.05E9</v>
      </c>
      <c r="D10" s="26">
        <f t="shared" si="1"/>
        <v>2050000000</v>
      </c>
      <c r="E10" s="25">
        <v>0.0</v>
      </c>
      <c r="F10" s="25">
        <v>2.05E9</v>
      </c>
      <c r="G10" s="26">
        <f t="shared" si="4"/>
        <v>2050000000</v>
      </c>
      <c r="H10" s="25">
        <v>0.0</v>
      </c>
      <c r="I10" s="25">
        <v>2.91100719326E9</v>
      </c>
      <c r="J10" s="26">
        <f t="shared" si="5"/>
        <v>2911007193</v>
      </c>
      <c r="K10" s="55" t="s">
        <v>25</v>
      </c>
      <c r="L10" s="53" t="s">
        <v>69</v>
      </c>
      <c r="M10" s="53"/>
      <c r="N10" s="53"/>
      <c r="O10" s="5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ht="143.25" customHeight="1">
      <c r="A11" s="24" t="s">
        <v>26</v>
      </c>
      <c r="B11" s="25">
        <v>0.0</v>
      </c>
      <c r="C11" s="25">
        <v>4.95E9</v>
      </c>
      <c r="D11" s="26">
        <f t="shared" si="1"/>
        <v>4950000000</v>
      </c>
      <c r="E11" s="25">
        <v>0.0</v>
      </c>
      <c r="F11" s="25">
        <v>4.95E9</v>
      </c>
      <c r="G11" s="26">
        <f t="shared" si="4"/>
        <v>4950000000</v>
      </c>
      <c r="H11" s="25">
        <v>0.0</v>
      </c>
      <c r="I11" s="25">
        <f>3609759422.38+(5*518269874.82)</f>
        <v>6201108796</v>
      </c>
      <c r="J11" s="26">
        <f t="shared" si="5"/>
        <v>6201108796</v>
      </c>
      <c r="K11" s="55" t="s">
        <v>27</v>
      </c>
      <c r="L11" s="53" t="s">
        <v>69</v>
      </c>
      <c r="M11" s="53"/>
      <c r="N11" s="53"/>
      <c r="O11" s="5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>
      <c r="A12" s="24" t="s">
        <v>28</v>
      </c>
      <c r="B12" s="25">
        <v>0.0</v>
      </c>
      <c r="C12" s="25">
        <v>3.65E9</v>
      </c>
      <c r="D12" s="26">
        <f t="shared" si="1"/>
        <v>3650000000</v>
      </c>
      <c r="E12" s="25">
        <v>0.0</v>
      </c>
      <c r="F12" s="25">
        <v>3.65E9</v>
      </c>
      <c r="G12" s="26">
        <f t="shared" si="4"/>
        <v>3650000000</v>
      </c>
      <c r="H12" s="25">
        <v>0.0</v>
      </c>
      <c r="I12" s="25">
        <v>4.49405368687E9</v>
      </c>
      <c r="J12" s="26">
        <f t="shared" si="5"/>
        <v>4494053687</v>
      </c>
      <c r="K12" s="55" t="s">
        <v>29</v>
      </c>
      <c r="L12" s="53" t="s">
        <v>69</v>
      </c>
      <c r="M12" s="53"/>
      <c r="N12" s="53"/>
      <c r="O12" s="5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>
      <c r="A13" s="24" t="s">
        <v>30</v>
      </c>
      <c r="B13" s="26">
        <v>1.35E8</v>
      </c>
      <c r="C13" s="25">
        <v>0.0</v>
      </c>
      <c r="D13" s="26">
        <f t="shared" si="1"/>
        <v>135000000</v>
      </c>
      <c r="E13" s="25">
        <v>1.35E8</v>
      </c>
      <c r="F13" s="25">
        <v>0.0</v>
      </c>
      <c r="G13" s="26">
        <f t="shared" si="4"/>
        <v>135000000</v>
      </c>
      <c r="H13" s="25">
        <v>1.6789984161E8</v>
      </c>
      <c r="I13" s="25">
        <v>0.0</v>
      </c>
      <c r="J13" s="26">
        <f t="shared" si="5"/>
        <v>167899841.6</v>
      </c>
      <c r="K13" s="55" t="s">
        <v>94</v>
      </c>
      <c r="L13" s="53" t="s">
        <v>69</v>
      </c>
      <c r="M13" s="53"/>
      <c r="N13" s="53"/>
      <c r="O13" s="53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>
      <c r="A14" s="24" t="s">
        <v>32</v>
      </c>
      <c r="B14" s="25">
        <v>0.0</v>
      </c>
      <c r="C14" s="25">
        <v>3.1E8</v>
      </c>
      <c r="D14" s="26">
        <f t="shared" si="1"/>
        <v>310000000</v>
      </c>
      <c r="E14" s="25">
        <v>0.0</v>
      </c>
      <c r="F14" s="25">
        <v>3.1E8</v>
      </c>
      <c r="G14" s="26">
        <f t="shared" si="4"/>
        <v>310000000</v>
      </c>
      <c r="H14" s="25">
        <v>0.0</v>
      </c>
      <c r="I14" s="68">
        <v>4.3628978841E8</v>
      </c>
      <c r="J14" s="26">
        <f t="shared" si="5"/>
        <v>436289788.4</v>
      </c>
      <c r="K14" s="55" t="s">
        <v>29</v>
      </c>
      <c r="L14" s="53" t="s">
        <v>69</v>
      </c>
      <c r="M14" s="53"/>
      <c r="N14" s="53"/>
      <c r="O14" s="53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>
      <c r="A15" s="35" t="s">
        <v>33</v>
      </c>
      <c r="B15" s="25">
        <v>6.0E8</v>
      </c>
      <c r="C15" s="25">
        <v>1.0E8</v>
      </c>
      <c r="D15" s="26">
        <f t="shared" si="1"/>
        <v>700000000</v>
      </c>
      <c r="E15" s="25">
        <v>6.0E8</v>
      </c>
      <c r="F15" s="25">
        <v>1.0E8</v>
      </c>
      <c r="G15" s="26">
        <f t="shared" si="4"/>
        <v>700000000</v>
      </c>
      <c r="H15" s="25">
        <v>6.0E8</v>
      </c>
      <c r="I15" s="25">
        <v>1.0E8</v>
      </c>
      <c r="J15" s="26">
        <f t="shared" si="5"/>
        <v>700000000</v>
      </c>
      <c r="K15" s="55" t="s">
        <v>95</v>
      </c>
      <c r="L15" s="53" t="s">
        <v>69</v>
      </c>
      <c r="M15" s="53"/>
      <c r="N15" s="53"/>
      <c r="O15" s="5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>
      <c r="A16" s="24" t="s">
        <v>35</v>
      </c>
      <c r="B16" s="26">
        <f>71040828+96619306</f>
        <v>167660134</v>
      </c>
      <c r="C16" s="25">
        <v>0.0</v>
      </c>
      <c r="D16" s="26">
        <f t="shared" si="1"/>
        <v>167660134</v>
      </c>
      <c r="E16" s="26">
        <f>71040828+96619306</f>
        <v>167660134</v>
      </c>
      <c r="F16" s="25">
        <v>0.0</v>
      </c>
      <c r="G16" s="26">
        <f t="shared" si="4"/>
        <v>167660134</v>
      </c>
      <c r="H16" s="26">
        <f>88353657.55+120165675.36</f>
        <v>208519332.9</v>
      </c>
      <c r="I16" s="25"/>
      <c r="J16" s="26">
        <f t="shared" si="5"/>
        <v>208519332.9</v>
      </c>
      <c r="K16" s="55" t="s">
        <v>94</v>
      </c>
      <c r="L16" s="53" t="s">
        <v>69</v>
      </c>
      <c r="M16" s="53"/>
      <c r="N16" s="53"/>
      <c r="O16" s="53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ht="15.75" customHeight="1">
      <c r="A17" s="38" t="s">
        <v>36</v>
      </c>
      <c r="B17" s="39">
        <f t="shared" ref="B17:E17" si="6">SUM(B4:B16)</f>
        <v>11327660134</v>
      </c>
      <c r="C17" s="39">
        <f t="shared" si="6"/>
        <v>18585000000</v>
      </c>
      <c r="D17" s="39">
        <f t="shared" si="6"/>
        <v>29912660134</v>
      </c>
      <c r="E17" s="39">
        <f t="shared" si="6"/>
        <v>7585485161</v>
      </c>
      <c r="F17" s="39">
        <f>SUM(F4:F16)+1716913774.52+733260124.99</f>
        <v>22327174973</v>
      </c>
      <c r="G17" s="39">
        <f t="shared" ref="G17:H17" si="7">SUM(G4:G16)</f>
        <v>29912660134</v>
      </c>
      <c r="H17" s="39">
        <f t="shared" si="7"/>
        <v>8526158110</v>
      </c>
      <c r="I17" s="39">
        <f>SUM(I4:I16)+1789866686.99+768203426.51</f>
        <v>27272777012</v>
      </c>
      <c r="J17" s="39">
        <f>SUM(J4:J16)</f>
        <v>35798935122</v>
      </c>
      <c r="K17" s="58"/>
      <c r="L17" s="53" t="s">
        <v>69</v>
      </c>
      <c r="M17" s="59"/>
      <c r="N17" s="69">
        <f>F17-C17</f>
        <v>3742174973</v>
      </c>
      <c r="O17" s="60">
        <f>N17/(G17-5000000000)</f>
        <v>0.150211778</v>
      </c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</row>
    <row r="18">
      <c r="A18" s="24" t="s">
        <v>37</v>
      </c>
      <c r="B18" s="25">
        <v>0.0</v>
      </c>
      <c r="C18" s="25">
        <v>1.5E9</v>
      </c>
      <c r="D18" s="26">
        <f t="shared" ref="D18:D21" si="8">SUM(B18:C18)</f>
        <v>1500000000</v>
      </c>
      <c r="E18" s="25">
        <v>0.0</v>
      </c>
      <c r="F18" s="25">
        <v>1.5E9</v>
      </c>
      <c r="G18" s="26">
        <f t="shared" ref="G18:G21" si="9">SUM(E18:F18)</f>
        <v>1500000000</v>
      </c>
      <c r="H18" s="25">
        <v>0.0</v>
      </c>
      <c r="I18" s="25">
        <v>1.5E9</v>
      </c>
      <c r="J18" s="26">
        <f t="shared" ref="J18:J21" si="10">SUM(H18:I18)</f>
        <v>1500000000</v>
      </c>
      <c r="K18" s="26"/>
      <c r="L18" s="53" t="s">
        <v>69</v>
      </c>
      <c r="M18" s="53"/>
      <c r="N18" s="53"/>
      <c r="O18" s="53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>
      <c r="A19" s="24" t="s">
        <v>38</v>
      </c>
      <c r="B19" s="26">
        <v>4.392583672E9</v>
      </c>
      <c r="C19" s="25">
        <v>0.0</v>
      </c>
      <c r="D19" s="26">
        <f t="shared" si="8"/>
        <v>4392583672</v>
      </c>
      <c r="E19" s="25">
        <v>4.392583672E9</v>
      </c>
      <c r="F19" s="25">
        <v>0.0</v>
      </c>
      <c r="G19" s="26">
        <f t="shared" si="9"/>
        <v>4392583672</v>
      </c>
      <c r="H19" s="25">
        <v>4.392583672E9</v>
      </c>
      <c r="I19" s="25">
        <v>0.0</v>
      </c>
      <c r="J19" s="26">
        <f t="shared" si="10"/>
        <v>4392583672</v>
      </c>
      <c r="K19" s="26"/>
      <c r="L19" s="53" t="s">
        <v>69</v>
      </c>
      <c r="M19" s="53"/>
      <c r="N19" s="53"/>
      <c r="O19" s="53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>
      <c r="A20" s="24" t="s">
        <v>39</v>
      </c>
      <c r="B20" s="26">
        <v>1.774471573E9</v>
      </c>
      <c r="C20" s="25">
        <v>0.0</v>
      </c>
      <c r="D20" s="26">
        <f t="shared" si="8"/>
        <v>1774471573</v>
      </c>
      <c r="E20" s="25">
        <v>1.774471573E9</v>
      </c>
      <c r="F20" s="25">
        <v>0.0</v>
      </c>
      <c r="G20" s="26">
        <f t="shared" si="9"/>
        <v>1774471573</v>
      </c>
      <c r="H20" s="25">
        <v>1.774471573E9</v>
      </c>
      <c r="I20" s="25">
        <v>0.0</v>
      </c>
      <c r="J20" s="26">
        <f t="shared" si="10"/>
        <v>1774471573</v>
      </c>
      <c r="K20" s="26"/>
      <c r="L20" s="53" t="s">
        <v>69</v>
      </c>
      <c r="M20" s="53"/>
      <c r="N20" s="53"/>
      <c r="O20" s="53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>
      <c r="A21" s="24" t="s">
        <v>40</v>
      </c>
      <c r="B21" s="25">
        <v>0.0</v>
      </c>
      <c r="C21" s="26">
        <v>1.1005195E8</v>
      </c>
      <c r="D21" s="26">
        <f t="shared" si="8"/>
        <v>110051950</v>
      </c>
      <c r="E21" s="25">
        <v>0.0</v>
      </c>
      <c r="F21" s="25">
        <v>1.1005195E8</v>
      </c>
      <c r="G21" s="26">
        <f t="shared" si="9"/>
        <v>110051950</v>
      </c>
      <c r="H21" s="25">
        <v>0.0</v>
      </c>
      <c r="I21" s="25">
        <v>1.1005195E8</v>
      </c>
      <c r="J21" s="26">
        <f t="shared" si="10"/>
        <v>110051950</v>
      </c>
      <c r="K21" s="26"/>
      <c r="L21" s="53" t="s">
        <v>69</v>
      </c>
      <c r="M21" s="53"/>
      <c r="N21" s="53"/>
      <c r="O21" s="53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ht="15.75" customHeight="1">
      <c r="A22" s="38" t="s">
        <v>41</v>
      </c>
      <c r="B22" s="39">
        <f t="shared" ref="B22:J22" si="11">SUM(B18:B21)</f>
        <v>6167055245</v>
      </c>
      <c r="C22" s="39">
        <f t="shared" si="11"/>
        <v>1610051950</v>
      </c>
      <c r="D22" s="39">
        <f t="shared" si="11"/>
        <v>7777107195</v>
      </c>
      <c r="E22" s="39">
        <f t="shared" si="11"/>
        <v>6167055245</v>
      </c>
      <c r="F22" s="39">
        <f t="shared" si="11"/>
        <v>1610051950</v>
      </c>
      <c r="G22" s="39">
        <f t="shared" si="11"/>
        <v>7777107195</v>
      </c>
      <c r="H22" s="39">
        <f t="shared" si="11"/>
        <v>6167055245</v>
      </c>
      <c r="I22" s="39">
        <f t="shared" si="11"/>
        <v>1610051950</v>
      </c>
      <c r="J22" s="39">
        <f t="shared" si="11"/>
        <v>7777107195</v>
      </c>
      <c r="K22" s="58"/>
      <c r="L22" s="53" t="s">
        <v>69</v>
      </c>
      <c r="M22" s="59"/>
      <c r="N22" s="59"/>
      <c r="O22" s="59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</row>
    <row r="23" ht="15.75" customHeight="1">
      <c r="A23" s="62" t="s">
        <v>42</v>
      </c>
      <c r="B23" s="63">
        <f t="shared" ref="B23:J23" si="12">B17+B22</f>
        <v>17494715379</v>
      </c>
      <c r="C23" s="63">
        <f t="shared" si="12"/>
        <v>20195051950</v>
      </c>
      <c r="D23" s="63">
        <f t="shared" si="12"/>
        <v>37689767329</v>
      </c>
      <c r="E23" s="63">
        <f t="shared" si="12"/>
        <v>13752540406</v>
      </c>
      <c r="F23" s="63">
        <f t="shared" si="12"/>
        <v>23937226923</v>
      </c>
      <c r="G23" s="63">
        <f t="shared" si="12"/>
        <v>37689767329</v>
      </c>
      <c r="H23" s="63">
        <f t="shared" si="12"/>
        <v>14693213355</v>
      </c>
      <c r="I23" s="63">
        <f t="shared" si="12"/>
        <v>28882828962</v>
      </c>
      <c r="J23" s="63">
        <f t="shared" si="12"/>
        <v>43576042317</v>
      </c>
      <c r="K23" s="26"/>
      <c r="L23" s="53" t="s">
        <v>69</v>
      </c>
      <c r="M23" s="53"/>
      <c r="N23" s="53"/>
      <c r="O23" s="53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ht="15.75" customHeight="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5"/>
      <c r="L24" s="66"/>
      <c r="M24" s="66"/>
      <c r="N24" s="66"/>
      <c r="O24" s="66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ht="15.7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2"/>
      <c r="L25" s="49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ht="15.75" customHeight="1">
      <c r="A26" s="48"/>
      <c r="B26" s="48"/>
      <c r="C26" s="48"/>
      <c r="D26" s="48"/>
      <c r="E26" s="48"/>
      <c r="F26" s="50"/>
      <c r="G26" s="48"/>
      <c r="H26" s="48"/>
      <c r="I26" s="50"/>
      <c r="J26" s="48"/>
      <c r="K26" s="2"/>
      <c r="L26" s="49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49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49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49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49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9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9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9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9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9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9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49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49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49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49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49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49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49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49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49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49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49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49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49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49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49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49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49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49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49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49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49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49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49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49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49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49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49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9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49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49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49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49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49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49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49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49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49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49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49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49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49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49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49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49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49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49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49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49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49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49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49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49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4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49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49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49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49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49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49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49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49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49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49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9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9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9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9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9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9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9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49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49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49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9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49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9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49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9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49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49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49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49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49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49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9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49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49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49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49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9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49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49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49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49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49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49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49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49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49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49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49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9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49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49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49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49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49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49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49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49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49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49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49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9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49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49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49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49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49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49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9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49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49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49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9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49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49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49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49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49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49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49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49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49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49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9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49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49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49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49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49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49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49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49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49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49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49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49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49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49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49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49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49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49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49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49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49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49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49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49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49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49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49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49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49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49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49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49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49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49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49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49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49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49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49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49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49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49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49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49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49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49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49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49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49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49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49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49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49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49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49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9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49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9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49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49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49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49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49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49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49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49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49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49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49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49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49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49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49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49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49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49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49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49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49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49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49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49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49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49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49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49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49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49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49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49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49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49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49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49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49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49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49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49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49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49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49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49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49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49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49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49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49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49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49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49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49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49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49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9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49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9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49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9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49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9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49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49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49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49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9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49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49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9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49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49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49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49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49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49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49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49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49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49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49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49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49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49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9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9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49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49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49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49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49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49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49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49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49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49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49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49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49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49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49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49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49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49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49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49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49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49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49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49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49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49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49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9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49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49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49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49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49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49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49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49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49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49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49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49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49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49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49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49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49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49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49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49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49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49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49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49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49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49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49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49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49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49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49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49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49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49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49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49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49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49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49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49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49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49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49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49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49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49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49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49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49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49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49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49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49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49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49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49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49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49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49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49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49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49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49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49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49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49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49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49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49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49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49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49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49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49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49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49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49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49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49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49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49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49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49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49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49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49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49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49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49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49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49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49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49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49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49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49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49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49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49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49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49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49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49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49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49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49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49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49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49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49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49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49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49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49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49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49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49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49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49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49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49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49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49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49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49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49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49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49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49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49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49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49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49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49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49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49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49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49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49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49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49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49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49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49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49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49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49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49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49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49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49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49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49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49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49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49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49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49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49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49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49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49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49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49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49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49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49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49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49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49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49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49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49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49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49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49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49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49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49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49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49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49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49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49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49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49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49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49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49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49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49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49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49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49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49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49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49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49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49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49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49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49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49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49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49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49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49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49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49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49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49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49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49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49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49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49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49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49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49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49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49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49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49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49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49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49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49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49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49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49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49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49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49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49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49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49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49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49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49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49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49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49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49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49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49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49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49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49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49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49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49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49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49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49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49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49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49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49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49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49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49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49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49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49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49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49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49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49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49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49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49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49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49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49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49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49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49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49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49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49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49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49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49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49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49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49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49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49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49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49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49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49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49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49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49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49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49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49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49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49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49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49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49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49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49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49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49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49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49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49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49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49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49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49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49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49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49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49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49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49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49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49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49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49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49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49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49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49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49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49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49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49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49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49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49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49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49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49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49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49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49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49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49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49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49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49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49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49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49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49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49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49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49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49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49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49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49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49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49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49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49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49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49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49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49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49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49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49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49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49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49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49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49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49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49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49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49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49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49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49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49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49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49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49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49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49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49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49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49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49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49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49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49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49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49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49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49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49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49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49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49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49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49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49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49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49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49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49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49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49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49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49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49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49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49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49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49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49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49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49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49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49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49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49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49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49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49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49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49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49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49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49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49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49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49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49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49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49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49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49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49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49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49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49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49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49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49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49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49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49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49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49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49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49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49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49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49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49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49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49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49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49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49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49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49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49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49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49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49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49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49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49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49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49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49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49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49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49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49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49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49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49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49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49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49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49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49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49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49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49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49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49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49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49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49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49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49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49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49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49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49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49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49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49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49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49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49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49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49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49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49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49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49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49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49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49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49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49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49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49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49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49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49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49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49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49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49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49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49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49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49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49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49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49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49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49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49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49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49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49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49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49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49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49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49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49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49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49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49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49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49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49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49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49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49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49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49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49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49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49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49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49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49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49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49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49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49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49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49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49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49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49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49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49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49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49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49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49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49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49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49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49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49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49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49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49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49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49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49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49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49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49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49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49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49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49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49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49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49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49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49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49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49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49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49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49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49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49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49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49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49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49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49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49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49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49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49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49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49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49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49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49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49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49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49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49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49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49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49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49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49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49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49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49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49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49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49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49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49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49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49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49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49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49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49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49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49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49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49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49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49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49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49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49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49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49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49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49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</sheetData>
  <mergeCells count="6">
    <mergeCell ref="A2:A3"/>
    <mergeCell ref="B2:D2"/>
    <mergeCell ref="E2:G2"/>
    <mergeCell ref="H2:J2"/>
    <mergeCell ref="K2:K3"/>
    <mergeCell ref="L2:L3"/>
  </mergeCells>
  <printOptions/>
  <pageMargins bottom="0.787401575" footer="0.0" header="0.0" left="0.511811024" right="0.511811024" top="0.787401575"/>
  <pageSetup paperSize="9" orientation="portrait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39.88"/>
    <col customWidth="1" min="2" max="2" width="17.88"/>
    <col customWidth="1" min="3" max="3" width="18.75"/>
    <col customWidth="1" min="4" max="5" width="18.0"/>
    <col customWidth="1" min="6" max="6" width="18.75"/>
    <col customWidth="1" min="7" max="8" width="18.0"/>
    <col customWidth="1" min="9" max="9" width="18.75"/>
    <col customWidth="1" min="10" max="10" width="18.25"/>
    <col customWidth="1" min="11" max="11" width="40.38"/>
    <col customWidth="1" min="12" max="12" width="23.5"/>
    <col customWidth="1" min="13" max="13" width="18.13"/>
    <col customWidth="1" min="14" max="29" width="8.6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4.5" customHeight="1">
      <c r="A2" s="5" t="s">
        <v>0</v>
      </c>
      <c r="B2" s="6" t="s">
        <v>1</v>
      </c>
      <c r="C2" s="7"/>
      <c r="D2" s="8"/>
      <c r="E2" s="6" t="s">
        <v>96</v>
      </c>
      <c r="F2" s="7"/>
      <c r="G2" s="8"/>
      <c r="H2" s="9" t="s">
        <v>97</v>
      </c>
      <c r="I2" s="7"/>
      <c r="J2" s="8"/>
      <c r="K2" s="10" t="s">
        <v>4</v>
      </c>
      <c r="L2" s="51" t="s">
        <v>45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8.5" customHeight="1">
      <c r="A3" s="12"/>
      <c r="B3" s="13" t="s">
        <v>5</v>
      </c>
      <c r="C3" s="14" t="s">
        <v>6</v>
      </c>
      <c r="D3" s="15" t="s">
        <v>7</v>
      </c>
      <c r="E3" s="13" t="s">
        <v>5</v>
      </c>
      <c r="F3" s="14" t="s">
        <v>6</v>
      </c>
      <c r="G3" s="15" t="s">
        <v>7</v>
      </c>
      <c r="H3" s="13" t="s">
        <v>5</v>
      </c>
      <c r="I3" s="14" t="s">
        <v>6</v>
      </c>
      <c r="J3" s="15" t="s">
        <v>7</v>
      </c>
      <c r="K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>
      <c r="A4" s="16" t="s">
        <v>8</v>
      </c>
      <c r="B4" s="17">
        <v>0.0</v>
      </c>
      <c r="C4" s="18">
        <v>3.0E9</v>
      </c>
      <c r="D4" s="18">
        <f t="shared" ref="D4:D16" si="1">SUM(B4:C4)</f>
        <v>3000000000</v>
      </c>
      <c r="E4" s="19">
        <v>0.0</v>
      </c>
      <c r="F4" s="20">
        <v>3.0E9</v>
      </c>
      <c r="G4" s="18">
        <f t="shared" ref="G4:G5" si="2">SUM(E4:F4)</f>
        <v>3000000000</v>
      </c>
      <c r="H4" s="21"/>
      <c r="I4" s="22">
        <f>1766210022.45+1693108143.42</f>
        <v>3459318166</v>
      </c>
      <c r="J4" s="22">
        <f t="shared" ref="J4:J5" si="3">SUM(H4:I4)</f>
        <v>3459318166</v>
      </c>
      <c r="K4" s="23" t="s">
        <v>9</v>
      </c>
      <c r="L4" s="70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</row>
    <row r="5">
      <c r="A5" s="24" t="s">
        <v>10</v>
      </c>
      <c r="B5" s="25">
        <v>0.0</v>
      </c>
      <c r="C5" s="26">
        <v>4.4E9</v>
      </c>
      <c r="D5" s="26">
        <f t="shared" si="1"/>
        <v>4400000000</v>
      </c>
      <c r="E5" s="27">
        <v>0.0</v>
      </c>
      <c r="F5" s="28">
        <v>4.4E9</v>
      </c>
      <c r="G5" s="28">
        <f t="shared" si="2"/>
        <v>4400000000</v>
      </c>
      <c r="H5" s="28">
        <v>0.0</v>
      </c>
      <c r="I5" s="28">
        <f>2000000000+282312603.74+2325834136.37+8387.5+1000000000</f>
        <v>5608155128</v>
      </c>
      <c r="J5" s="28">
        <f t="shared" si="3"/>
        <v>5608155128</v>
      </c>
      <c r="K5" s="54" t="s">
        <v>98</v>
      </c>
      <c r="L5" s="72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</row>
    <row r="6">
      <c r="A6" s="24" t="s">
        <v>12</v>
      </c>
      <c r="B6" s="30">
        <v>2.375E9</v>
      </c>
      <c r="C6" s="31">
        <v>1.25E8</v>
      </c>
      <c r="D6" s="31">
        <f t="shared" si="1"/>
        <v>2500000000</v>
      </c>
      <c r="E6" s="32">
        <v>8.2154494195E8</v>
      </c>
      <c r="F6" s="32" t="s">
        <v>99</v>
      </c>
      <c r="G6" s="32">
        <v>2.5E9</v>
      </c>
      <c r="H6" s="32">
        <v>1.35856641587E9</v>
      </c>
      <c r="I6" s="32" t="s">
        <v>100</v>
      </c>
      <c r="J6" s="32">
        <v>3.10274057083E9</v>
      </c>
      <c r="K6" s="32" t="s">
        <v>48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>
      <c r="A7" s="24" t="s">
        <v>16</v>
      </c>
      <c r="B7" s="30">
        <v>1.5E9</v>
      </c>
      <c r="C7" s="25">
        <v>0.0</v>
      </c>
      <c r="D7" s="26">
        <f t="shared" si="1"/>
        <v>1500000000</v>
      </c>
      <c r="E7" s="32">
        <v>7.6673987501E8</v>
      </c>
      <c r="F7" s="32" t="s">
        <v>17</v>
      </c>
      <c r="G7" s="26">
        <v>1.5E9</v>
      </c>
      <c r="H7" s="25">
        <v>1.09505076251E9</v>
      </c>
      <c r="I7" s="32" t="s">
        <v>101</v>
      </c>
      <c r="J7" s="32">
        <v>1.8616443425E9</v>
      </c>
      <c r="K7" s="55" t="s">
        <v>51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>
      <c r="A8" s="35" t="s">
        <v>20</v>
      </c>
      <c r="B8" s="25">
        <v>5.0E9</v>
      </c>
      <c r="C8" s="25">
        <v>0.0</v>
      </c>
      <c r="D8" s="26">
        <f t="shared" si="1"/>
        <v>5000000000</v>
      </c>
      <c r="E8" s="25">
        <v>5.0E9</v>
      </c>
      <c r="F8" s="25">
        <v>0.0</v>
      </c>
      <c r="G8" s="26">
        <f t="shared" ref="G8:G16" si="4">SUM(E8:F8)</f>
        <v>5000000000</v>
      </c>
      <c r="H8" s="25">
        <v>5.0E9</v>
      </c>
      <c r="I8" s="25">
        <v>0.0</v>
      </c>
      <c r="J8" s="26">
        <f t="shared" ref="J8:J16" si="5">SUM(H8:I8)</f>
        <v>5000000000</v>
      </c>
      <c r="K8" s="55" t="s">
        <v>21</v>
      </c>
      <c r="L8" s="70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>
      <c r="A9" s="35" t="s">
        <v>22</v>
      </c>
      <c r="B9" s="25">
        <v>1.55E9</v>
      </c>
      <c r="C9" s="25">
        <v>0.0</v>
      </c>
      <c r="D9" s="26">
        <f t="shared" si="1"/>
        <v>1550000000</v>
      </c>
      <c r="E9" s="25">
        <f>1550000000-1417001073</f>
        <v>132998927</v>
      </c>
      <c r="F9" s="25">
        <v>1.417001073E9</v>
      </c>
      <c r="G9" s="26">
        <f t="shared" si="4"/>
        <v>1550000000</v>
      </c>
      <c r="H9" s="25">
        <v>1.32998927E8</v>
      </c>
      <c r="I9" s="25">
        <v>1.417001073E9</v>
      </c>
      <c r="J9" s="26">
        <f t="shared" si="5"/>
        <v>1550000000</v>
      </c>
      <c r="K9" s="55" t="s">
        <v>102</v>
      </c>
      <c r="L9" s="72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>
      <c r="A10" s="24" t="s">
        <v>24</v>
      </c>
      <c r="B10" s="25">
        <v>0.0</v>
      </c>
      <c r="C10" s="25">
        <v>2.05E9</v>
      </c>
      <c r="D10" s="26">
        <f t="shared" si="1"/>
        <v>2050000000</v>
      </c>
      <c r="E10" s="25">
        <v>0.0</v>
      </c>
      <c r="F10" s="25">
        <v>2.05E9</v>
      </c>
      <c r="G10" s="26">
        <f t="shared" si="4"/>
        <v>2050000000</v>
      </c>
      <c r="H10" s="25">
        <v>0.0</v>
      </c>
      <c r="I10" s="25">
        <v>2.88866886677E9</v>
      </c>
      <c r="J10" s="26">
        <f t="shared" si="5"/>
        <v>2888668867</v>
      </c>
      <c r="K10" s="55" t="s">
        <v>25</v>
      </c>
      <c r="L10" s="72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</row>
    <row r="11" ht="143.25" customHeight="1">
      <c r="A11" s="24" t="s">
        <v>26</v>
      </c>
      <c r="B11" s="25">
        <v>0.0</v>
      </c>
      <c r="C11" s="25">
        <v>4.95E9</v>
      </c>
      <c r="D11" s="26">
        <f t="shared" si="1"/>
        <v>4950000000</v>
      </c>
      <c r="E11" s="25">
        <v>0.0</v>
      </c>
      <c r="F11" s="25">
        <v>4.95E9</v>
      </c>
      <c r="G11" s="26">
        <f t="shared" si="4"/>
        <v>4950000000</v>
      </c>
      <c r="H11" s="25">
        <v>0.0</v>
      </c>
      <c r="I11" s="25">
        <f>2088665531+466567243.45+1042123007.03+(5*518269874.82)</f>
        <v>6188705156</v>
      </c>
      <c r="J11" s="26">
        <f t="shared" si="5"/>
        <v>6188705156</v>
      </c>
      <c r="K11" s="55" t="s">
        <v>27</v>
      </c>
      <c r="L11" s="72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</row>
    <row r="12">
      <c r="A12" s="24" t="s">
        <v>28</v>
      </c>
      <c r="B12" s="25">
        <v>0.0</v>
      </c>
      <c r="C12" s="25">
        <v>3.65E9</v>
      </c>
      <c r="D12" s="26">
        <f t="shared" si="1"/>
        <v>3650000000</v>
      </c>
      <c r="E12" s="25">
        <v>0.0</v>
      </c>
      <c r="F12" s="25">
        <v>3.65E9</v>
      </c>
      <c r="G12" s="26">
        <f t="shared" si="4"/>
        <v>3650000000</v>
      </c>
      <c r="H12" s="25">
        <v>0.0</v>
      </c>
      <c r="I12" s="25">
        <v>4.47480848498E9</v>
      </c>
      <c r="J12" s="26">
        <f t="shared" si="5"/>
        <v>4474808485</v>
      </c>
      <c r="K12" s="55" t="s">
        <v>29</v>
      </c>
      <c r="L12" s="72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</row>
    <row r="13">
      <c r="A13" s="24" t="s">
        <v>30</v>
      </c>
      <c r="B13" s="26">
        <v>1.35E8</v>
      </c>
      <c r="C13" s="25">
        <v>0.0</v>
      </c>
      <c r="D13" s="26">
        <f t="shared" si="1"/>
        <v>135000000</v>
      </c>
      <c r="E13" s="25">
        <v>1.35E8</v>
      </c>
      <c r="F13" s="25">
        <v>0.0</v>
      </c>
      <c r="G13" s="26">
        <f t="shared" si="4"/>
        <v>135000000</v>
      </c>
      <c r="H13" s="25">
        <v>1.6754799083E8</v>
      </c>
      <c r="I13" s="25">
        <v>0.0</v>
      </c>
      <c r="J13" s="26">
        <f t="shared" si="5"/>
        <v>167547990.8</v>
      </c>
      <c r="K13" s="55" t="s">
        <v>103</v>
      </c>
      <c r="L13" s="72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>
      <c r="A14" s="24" t="s">
        <v>32</v>
      </c>
      <c r="B14" s="25">
        <v>0.0</v>
      </c>
      <c r="C14" s="25">
        <v>3.1E8</v>
      </c>
      <c r="D14" s="26">
        <f t="shared" si="1"/>
        <v>310000000</v>
      </c>
      <c r="E14" s="25">
        <v>0.0</v>
      </c>
      <c r="F14" s="25">
        <v>3.1E8</v>
      </c>
      <c r="G14" s="26">
        <f t="shared" si="4"/>
        <v>310000000</v>
      </c>
      <c r="H14" s="25">
        <v>0.0</v>
      </c>
      <c r="I14" s="25">
        <v>4.3320676119E8</v>
      </c>
      <c r="J14" s="26">
        <f t="shared" si="5"/>
        <v>433206761.2</v>
      </c>
      <c r="K14" s="55" t="s">
        <v>29</v>
      </c>
      <c r="L14" s="72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>
      <c r="A15" s="35" t="s">
        <v>33</v>
      </c>
      <c r="B15" s="25">
        <v>6.0E8</v>
      </c>
      <c r="C15" s="25">
        <v>1.0E8</v>
      </c>
      <c r="D15" s="26">
        <f t="shared" si="1"/>
        <v>700000000</v>
      </c>
      <c r="E15" s="25">
        <v>6.0E8</v>
      </c>
      <c r="F15" s="25">
        <v>1.0E8</v>
      </c>
      <c r="G15" s="26">
        <f t="shared" si="4"/>
        <v>700000000</v>
      </c>
      <c r="H15" s="25">
        <v>6.0E8</v>
      </c>
      <c r="I15" s="25">
        <v>1.0E8</v>
      </c>
      <c r="J15" s="26">
        <f t="shared" si="5"/>
        <v>700000000</v>
      </c>
      <c r="K15" s="55" t="s">
        <v>104</v>
      </c>
      <c r="L15" s="70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</row>
    <row r="16">
      <c r="A16" s="24" t="s">
        <v>35</v>
      </c>
      <c r="B16" s="26">
        <f>71040828+96619306</f>
        <v>167660134</v>
      </c>
      <c r="C16" s="25">
        <v>0.0</v>
      </c>
      <c r="D16" s="26">
        <f t="shared" si="1"/>
        <v>167660134</v>
      </c>
      <c r="E16" s="26">
        <f>71040828+96619306</f>
        <v>167660134</v>
      </c>
      <c r="F16" s="25">
        <v>0.0</v>
      </c>
      <c r="G16" s="26">
        <f t="shared" si="4"/>
        <v>167660134</v>
      </c>
      <c r="H16" s="26">
        <f>88168503.69+119913856.26</f>
        <v>208082360</v>
      </c>
      <c r="I16" s="25"/>
      <c r="J16" s="26">
        <f t="shared" si="5"/>
        <v>208082360</v>
      </c>
      <c r="K16" s="55" t="s">
        <v>103</v>
      </c>
      <c r="L16" s="72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</row>
    <row r="17" ht="15.75" customHeight="1">
      <c r="A17" s="38" t="s">
        <v>36</v>
      </c>
      <c r="B17" s="39">
        <f t="shared" ref="B17:E17" si="6">SUM(B4:B16)</f>
        <v>11327660134</v>
      </c>
      <c r="C17" s="39">
        <f t="shared" si="6"/>
        <v>18585000000</v>
      </c>
      <c r="D17" s="39">
        <f t="shared" si="6"/>
        <v>29912660134</v>
      </c>
      <c r="E17" s="39">
        <f t="shared" si="6"/>
        <v>7623943878</v>
      </c>
      <c r="F17" s="39">
        <f>SUM(F4:F16)+1678455058.05+733260124.99</f>
        <v>22288716256</v>
      </c>
      <c r="G17" s="39">
        <f t="shared" ref="G17:H17" si="7">SUM(G4:G16)</f>
        <v>29912660134</v>
      </c>
      <c r="H17" s="39">
        <f t="shared" si="7"/>
        <v>8562246456</v>
      </c>
      <c r="I17" s="39">
        <f>SUM(I4:I16)+1744174154.96+766593580</f>
        <v>27080631370</v>
      </c>
      <c r="J17" s="39">
        <f>SUM(J4:J16)</f>
        <v>35642877826</v>
      </c>
      <c r="K17" s="58"/>
      <c r="L17" s="75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</row>
    <row r="18">
      <c r="A18" s="24" t="s">
        <v>37</v>
      </c>
      <c r="B18" s="25">
        <v>0.0</v>
      </c>
      <c r="C18" s="25">
        <v>1.5E9</v>
      </c>
      <c r="D18" s="26">
        <f t="shared" ref="D18:D21" si="8">SUM(B18:C18)</f>
        <v>1500000000</v>
      </c>
      <c r="E18" s="25">
        <v>0.0</v>
      </c>
      <c r="F18" s="25">
        <v>1.5E9</v>
      </c>
      <c r="G18" s="26">
        <f t="shared" ref="G18:G21" si="9">SUM(E18:F18)</f>
        <v>1500000000</v>
      </c>
      <c r="H18" s="25">
        <v>0.0</v>
      </c>
      <c r="I18" s="25">
        <v>1.5E9</v>
      </c>
      <c r="J18" s="26">
        <f t="shared" ref="J18:J21" si="10">SUM(H18:I18)</f>
        <v>1500000000</v>
      </c>
      <c r="K18" s="26"/>
      <c r="L18" s="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>
      <c r="A19" s="24" t="s">
        <v>38</v>
      </c>
      <c r="B19" s="26">
        <v>4.392583672E9</v>
      </c>
      <c r="C19" s="25">
        <v>0.0</v>
      </c>
      <c r="D19" s="26">
        <f t="shared" si="8"/>
        <v>4392583672</v>
      </c>
      <c r="E19" s="25">
        <v>4.392583672E9</v>
      </c>
      <c r="F19" s="25">
        <v>0.0</v>
      </c>
      <c r="G19" s="26">
        <f t="shared" si="9"/>
        <v>4392583672</v>
      </c>
      <c r="H19" s="25">
        <v>4.392583672E9</v>
      </c>
      <c r="I19" s="25">
        <v>0.0</v>
      </c>
      <c r="J19" s="26">
        <f t="shared" si="10"/>
        <v>4392583672</v>
      </c>
      <c r="K19" s="26"/>
      <c r="L19" s="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>
      <c r="A20" s="24" t="s">
        <v>39</v>
      </c>
      <c r="B20" s="26">
        <v>1.774471573E9</v>
      </c>
      <c r="C20" s="25">
        <v>0.0</v>
      </c>
      <c r="D20" s="26">
        <f t="shared" si="8"/>
        <v>1774471573</v>
      </c>
      <c r="E20" s="25">
        <v>1.774471573E9</v>
      </c>
      <c r="F20" s="25">
        <v>0.0</v>
      </c>
      <c r="G20" s="26">
        <f t="shared" si="9"/>
        <v>1774471573</v>
      </c>
      <c r="H20" s="25">
        <v>1.774471573E9</v>
      </c>
      <c r="I20" s="25">
        <v>0.0</v>
      </c>
      <c r="J20" s="26">
        <f t="shared" si="10"/>
        <v>1774471573</v>
      </c>
      <c r="K20" s="26"/>
      <c r="L20" s="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>
      <c r="A21" s="24" t="s">
        <v>40</v>
      </c>
      <c r="B21" s="25">
        <v>0.0</v>
      </c>
      <c r="C21" s="26">
        <v>1.1005195E8</v>
      </c>
      <c r="D21" s="26">
        <f t="shared" si="8"/>
        <v>110051950</v>
      </c>
      <c r="E21" s="25">
        <v>0.0</v>
      </c>
      <c r="F21" s="25">
        <v>1.1005195E8</v>
      </c>
      <c r="G21" s="26">
        <f t="shared" si="9"/>
        <v>110051950</v>
      </c>
      <c r="H21" s="25">
        <v>0.0</v>
      </c>
      <c r="I21" s="25">
        <v>1.1005195E8</v>
      </c>
      <c r="J21" s="26">
        <f t="shared" si="10"/>
        <v>110051950</v>
      </c>
      <c r="K21" s="26"/>
      <c r="L21" s="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ht="15.75" customHeight="1">
      <c r="A22" s="38" t="s">
        <v>41</v>
      </c>
      <c r="B22" s="39">
        <f t="shared" ref="B22:J22" si="11">SUM(B18:B21)</f>
        <v>6167055245</v>
      </c>
      <c r="C22" s="39">
        <f t="shared" si="11"/>
        <v>1610051950</v>
      </c>
      <c r="D22" s="39">
        <f t="shared" si="11"/>
        <v>7777107195</v>
      </c>
      <c r="E22" s="39">
        <f t="shared" si="11"/>
        <v>6167055245</v>
      </c>
      <c r="F22" s="39">
        <f t="shared" si="11"/>
        <v>1610051950</v>
      </c>
      <c r="G22" s="39">
        <f t="shared" si="11"/>
        <v>7777107195</v>
      </c>
      <c r="H22" s="39">
        <f t="shared" si="11"/>
        <v>6167055245</v>
      </c>
      <c r="I22" s="39">
        <f t="shared" si="11"/>
        <v>1610051950</v>
      </c>
      <c r="J22" s="39">
        <f t="shared" si="11"/>
        <v>7777107195</v>
      </c>
      <c r="K22" s="58"/>
      <c r="L22" s="77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ht="15.75" customHeight="1">
      <c r="A23" s="62" t="s">
        <v>42</v>
      </c>
      <c r="B23" s="63">
        <f t="shared" ref="B23:J23" si="12">B17+B22</f>
        <v>17494715379</v>
      </c>
      <c r="C23" s="63">
        <f t="shared" si="12"/>
        <v>20195051950</v>
      </c>
      <c r="D23" s="63">
        <f t="shared" si="12"/>
        <v>37689767329</v>
      </c>
      <c r="E23" s="63">
        <f t="shared" si="12"/>
        <v>13790999123</v>
      </c>
      <c r="F23" s="63">
        <f t="shared" si="12"/>
        <v>23898768206</v>
      </c>
      <c r="G23" s="63">
        <f t="shared" si="12"/>
        <v>37689767329</v>
      </c>
      <c r="H23" s="63">
        <f t="shared" si="12"/>
        <v>14729301701</v>
      </c>
      <c r="I23" s="63">
        <f t="shared" si="12"/>
        <v>28690683320</v>
      </c>
      <c r="J23" s="63">
        <f t="shared" si="12"/>
        <v>43419985021</v>
      </c>
      <c r="K23" s="26"/>
      <c r="L23" s="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ht="15.75" customHeight="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5"/>
      <c r="L24" s="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ht="15.7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2"/>
      <c r="L25" s="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ht="15.75" customHeight="1">
      <c r="A26" s="48"/>
      <c r="B26" s="48"/>
      <c r="C26" s="48"/>
      <c r="D26" s="48"/>
      <c r="E26" s="48"/>
      <c r="F26" s="50"/>
      <c r="G26" s="48"/>
      <c r="H26" s="48"/>
      <c r="I26" s="50"/>
      <c r="J26" s="48"/>
      <c r="K26" s="2"/>
      <c r="L26" s="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4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4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</sheetData>
  <mergeCells count="6">
    <mergeCell ref="A2:A3"/>
    <mergeCell ref="B2:D2"/>
    <mergeCell ref="E2:G2"/>
    <mergeCell ref="H2:J2"/>
    <mergeCell ref="K2:K3"/>
    <mergeCell ref="L2:L3"/>
  </mergeCells>
  <printOptions/>
  <pageMargins bottom="0.787401575" footer="0.0" header="0.0" left="0.511811024" right="0.511811024" top="0.787401575"/>
  <pageSetup paperSize="9" orientation="portrait"/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3.5"/>
    <col customWidth="1" min="2" max="2" width="17.88"/>
    <col customWidth="1" min="3" max="3" width="18.75"/>
    <col customWidth="1" min="4" max="5" width="18.0"/>
    <col customWidth="1" min="6" max="6" width="18.75"/>
    <col customWidth="1" min="7" max="8" width="18.0"/>
    <col customWidth="1" min="9" max="9" width="18.75"/>
    <col customWidth="1" min="10" max="10" width="16.13"/>
    <col customWidth="1" min="11" max="11" width="40.38"/>
    <col customWidth="1" min="12" max="12" width="23.5"/>
    <col customWidth="1" min="13" max="13" width="18.13"/>
    <col customWidth="1" min="14" max="29" width="8.6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4.5" customHeight="1">
      <c r="A2" s="79" t="s">
        <v>105</v>
      </c>
      <c r="B2" s="80" t="s">
        <v>106</v>
      </c>
      <c r="C2" s="81"/>
      <c r="D2" s="82"/>
      <c r="E2" s="83" t="s">
        <v>107</v>
      </c>
      <c r="F2" s="81"/>
      <c r="G2" s="82"/>
      <c r="H2" s="84" t="s">
        <v>108</v>
      </c>
      <c r="I2" s="81"/>
      <c r="J2" s="82"/>
      <c r="K2" s="79" t="s">
        <v>109</v>
      </c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8.5" customHeight="1">
      <c r="A3" s="85"/>
      <c r="B3" s="86" t="s">
        <v>5</v>
      </c>
      <c r="C3" s="86" t="s">
        <v>6</v>
      </c>
      <c r="D3" s="86" t="s">
        <v>7</v>
      </c>
      <c r="E3" s="86" t="s">
        <v>5</v>
      </c>
      <c r="F3" s="79" t="s">
        <v>6</v>
      </c>
      <c r="G3" s="79" t="s">
        <v>7</v>
      </c>
      <c r="H3" s="86" t="s">
        <v>5</v>
      </c>
      <c r="I3" s="79" t="s">
        <v>6</v>
      </c>
      <c r="J3" s="79" t="s">
        <v>7</v>
      </c>
      <c r="K3" s="85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>
      <c r="A4" s="87" t="s">
        <v>8</v>
      </c>
      <c r="B4" s="88">
        <v>0.0</v>
      </c>
      <c r="C4" s="89">
        <v>3.0E9</v>
      </c>
      <c r="D4" s="89">
        <f t="shared" ref="D4:D16" si="1">SUM(B4:C4)</f>
        <v>3000000000</v>
      </c>
      <c r="E4" s="90">
        <v>0.0</v>
      </c>
      <c r="F4" s="91">
        <v>3.0E9</v>
      </c>
      <c r="G4" s="92">
        <f t="shared" ref="G4:G5" si="2">SUM(E4:F4)</f>
        <v>3000000000</v>
      </c>
      <c r="H4" s="93"/>
      <c r="I4" s="94">
        <f>1766210022.45+1693108143.42</f>
        <v>3459318166</v>
      </c>
      <c r="J4" s="94">
        <f t="shared" ref="J4:J5" si="3">SUM(H4:I4)</f>
        <v>3459318166</v>
      </c>
      <c r="K4" s="95" t="s">
        <v>9</v>
      </c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>
      <c r="A5" s="96" t="s">
        <v>10</v>
      </c>
      <c r="B5" s="97">
        <v>0.0</v>
      </c>
      <c r="C5" s="98">
        <v>4.4E9</v>
      </c>
      <c r="D5" s="98">
        <f t="shared" si="1"/>
        <v>4400000000</v>
      </c>
      <c r="E5" s="99">
        <v>0.0</v>
      </c>
      <c r="F5" s="100">
        <v>4.4E9</v>
      </c>
      <c r="G5" s="100">
        <f t="shared" si="2"/>
        <v>4400000000</v>
      </c>
      <c r="H5" s="100">
        <v>0.0</v>
      </c>
      <c r="I5" s="100">
        <f>2000000000+282312603.74+2325834136.37+8387.5+1000000000</f>
        <v>5608155128</v>
      </c>
      <c r="J5" s="100">
        <f t="shared" si="3"/>
        <v>5608155128</v>
      </c>
      <c r="K5" s="101" t="s">
        <v>110</v>
      </c>
      <c r="L5" s="10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>
      <c r="A6" s="96" t="s">
        <v>12</v>
      </c>
      <c r="B6" s="103">
        <v>2.375E9</v>
      </c>
      <c r="C6" s="104">
        <v>1.25E8</v>
      </c>
      <c r="D6" s="104">
        <f t="shared" si="1"/>
        <v>2500000000</v>
      </c>
      <c r="E6" s="105">
        <f>G6-1538167873.18</f>
        <v>961832126.8</v>
      </c>
      <c r="F6" s="105" t="s">
        <v>111</v>
      </c>
      <c r="G6" s="105">
        <v>2.5E9</v>
      </c>
      <c r="H6" s="105">
        <v>1.35131322409E9</v>
      </c>
      <c r="I6" s="105" t="s">
        <v>112</v>
      </c>
      <c r="J6" s="105">
        <v>3.08853331757E9</v>
      </c>
      <c r="K6" s="105" t="s">
        <v>48</v>
      </c>
      <c r="L6" s="102"/>
      <c r="M6" s="106"/>
      <c r="N6" s="107"/>
      <c r="O6" s="107"/>
      <c r="P6" s="107"/>
      <c r="Q6" s="107"/>
      <c r="R6" s="107"/>
      <c r="S6" s="108"/>
      <c r="T6" s="107"/>
      <c r="U6" s="109">
        <v>7.6019465667E8</v>
      </c>
      <c r="V6" s="107"/>
      <c r="W6" s="107"/>
      <c r="X6" s="107"/>
      <c r="Y6" s="107"/>
      <c r="Z6" s="107"/>
      <c r="AA6" s="107"/>
      <c r="AB6" s="107"/>
      <c r="AC6" s="107"/>
    </row>
    <row r="7">
      <c r="A7" s="96" t="s">
        <v>16</v>
      </c>
      <c r="B7" s="103">
        <v>1.5E9</v>
      </c>
      <c r="C7" s="97">
        <v>0.0</v>
      </c>
      <c r="D7" s="98">
        <f t="shared" si="1"/>
        <v>1500000000</v>
      </c>
      <c r="E7" s="105">
        <v>7.6760344446E8</v>
      </c>
      <c r="F7" s="105" t="s">
        <v>113</v>
      </c>
      <c r="G7" s="98">
        <v>1.5E9</v>
      </c>
      <c r="H7" s="97">
        <v>1.09003659417E9</v>
      </c>
      <c r="I7" s="105" t="s">
        <v>114</v>
      </c>
      <c r="J7" s="105">
        <v>1.85311999054E9</v>
      </c>
      <c r="K7" s="110" t="s">
        <v>51</v>
      </c>
      <c r="L7" s="10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>
      <c r="A8" s="111" t="s">
        <v>20</v>
      </c>
      <c r="B8" s="97">
        <v>5.0E9</v>
      </c>
      <c r="C8" s="97">
        <v>0.0</v>
      </c>
      <c r="D8" s="98">
        <f t="shared" si="1"/>
        <v>5000000000</v>
      </c>
      <c r="E8" s="97">
        <v>5.0E9</v>
      </c>
      <c r="F8" s="97">
        <v>0.0</v>
      </c>
      <c r="G8" s="98">
        <f t="shared" ref="G8:G16" si="4">SUM(E8:F8)</f>
        <v>5000000000</v>
      </c>
      <c r="H8" s="97">
        <v>5.0E9</v>
      </c>
      <c r="I8" s="97">
        <v>0.0</v>
      </c>
      <c r="J8" s="98">
        <f t="shared" ref="J8:J16" si="5">SUM(H8:I8)</f>
        <v>5000000000</v>
      </c>
      <c r="K8" s="110" t="s">
        <v>21</v>
      </c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>
      <c r="A9" s="111" t="s">
        <v>22</v>
      </c>
      <c r="B9" s="97">
        <v>1.55E9</v>
      </c>
      <c r="C9" s="97">
        <v>0.0</v>
      </c>
      <c r="D9" s="98">
        <f t="shared" si="1"/>
        <v>1550000000</v>
      </c>
      <c r="E9" s="97">
        <v>1.55E9</v>
      </c>
      <c r="F9" s="97">
        <v>0.0</v>
      </c>
      <c r="G9" s="98">
        <f t="shared" si="4"/>
        <v>1550000000</v>
      </c>
      <c r="H9" s="97">
        <v>1.55E9</v>
      </c>
      <c r="I9" s="97">
        <v>0.0</v>
      </c>
      <c r="J9" s="98">
        <f t="shared" si="5"/>
        <v>1550000000</v>
      </c>
      <c r="K9" s="110" t="s">
        <v>115</v>
      </c>
      <c r="L9" s="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>
      <c r="A10" s="96" t="s">
        <v>24</v>
      </c>
      <c r="B10" s="97">
        <v>0.0</v>
      </c>
      <c r="C10" s="97">
        <v>2.05E9</v>
      </c>
      <c r="D10" s="98">
        <f t="shared" si="1"/>
        <v>2050000000</v>
      </c>
      <c r="E10" s="97">
        <v>0.0</v>
      </c>
      <c r="F10" s="97">
        <v>2.05E9</v>
      </c>
      <c r="G10" s="98">
        <f t="shared" si="4"/>
        <v>2050000000</v>
      </c>
      <c r="H10" s="97">
        <v>0.0</v>
      </c>
      <c r="I10" s="97">
        <v>2.86524274424E9</v>
      </c>
      <c r="J10" s="98">
        <f t="shared" si="5"/>
        <v>2865242744</v>
      </c>
      <c r="K10" s="110" t="s">
        <v>25</v>
      </c>
      <c r="L10" s="10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ht="143.25" customHeight="1">
      <c r="A11" s="96" t="s">
        <v>26</v>
      </c>
      <c r="B11" s="97">
        <v>0.0</v>
      </c>
      <c r="C11" s="97">
        <v>4.95E9</v>
      </c>
      <c r="D11" s="98">
        <f t="shared" si="1"/>
        <v>4950000000</v>
      </c>
      <c r="E11" s="97">
        <v>0.0</v>
      </c>
      <c r="F11" s="97">
        <v>4.95E9</v>
      </c>
      <c r="G11" s="98">
        <f t="shared" si="4"/>
        <v>4950000000</v>
      </c>
      <c r="H11" s="97">
        <v>0.0</v>
      </c>
      <c r="I11" s="97">
        <v>6.05686282569E9</v>
      </c>
      <c r="J11" s="98">
        <f t="shared" si="5"/>
        <v>6056862826</v>
      </c>
      <c r="K11" s="110" t="s">
        <v>116</v>
      </c>
      <c r="L11" s="11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>
      <c r="A12" s="96" t="s">
        <v>28</v>
      </c>
      <c r="B12" s="97">
        <v>0.0</v>
      </c>
      <c r="C12" s="97">
        <v>3.65E9</v>
      </c>
      <c r="D12" s="98">
        <f t="shared" si="1"/>
        <v>3650000000</v>
      </c>
      <c r="E12" s="97">
        <v>0.0</v>
      </c>
      <c r="F12" s="97">
        <v>3.65E9</v>
      </c>
      <c r="G12" s="98">
        <f t="shared" si="4"/>
        <v>3650000000</v>
      </c>
      <c r="H12" s="97">
        <v>0.0</v>
      </c>
      <c r="I12" s="97">
        <v>4.45448165343E9</v>
      </c>
      <c r="J12" s="98">
        <f t="shared" si="5"/>
        <v>4454481653</v>
      </c>
      <c r="K12" s="110" t="s">
        <v>29</v>
      </c>
      <c r="L12" s="10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>
      <c r="A13" s="96" t="s">
        <v>30</v>
      </c>
      <c r="B13" s="98">
        <v>1.35E8</v>
      </c>
      <c r="C13" s="97">
        <v>0.0</v>
      </c>
      <c r="D13" s="98">
        <f t="shared" si="1"/>
        <v>135000000</v>
      </c>
      <c r="E13" s="97">
        <v>1.35E8</v>
      </c>
      <c r="F13" s="97">
        <v>0.0</v>
      </c>
      <c r="G13" s="98">
        <f t="shared" si="4"/>
        <v>135000000</v>
      </c>
      <c r="H13" s="97">
        <v>1.6678079915E8</v>
      </c>
      <c r="I13" s="97">
        <v>0.0</v>
      </c>
      <c r="J13" s="98">
        <f t="shared" si="5"/>
        <v>166780799.2</v>
      </c>
      <c r="K13" s="110" t="s">
        <v>117</v>
      </c>
      <c r="L13" s="10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>
      <c r="A14" s="96" t="s">
        <v>32</v>
      </c>
      <c r="B14" s="97">
        <v>0.0</v>
      </c>
      <c r="C14" s="97">
        <v>3.1E8</v>
      </c>
      <c r="D14" s="98">
        <f t="shared" si="1"/>
        <v>310000000</v>
      </c>
      <c r="E14" s="97">
        <v>0.0</v>
      </c>
      <c r="F14" s="97">
        <v>3.1E8</v>
      </c>
      <c r="G14" s="98">
        <f t="shared" si="4"/>
        <v>310000000</v>
      </c>
      <c r="H14" s="97">
        <v>0.0</v>
      </c>
      <c r="I14" s="97">
        <v>4.29965881E8</v>
      </c>
      <c r="J14" s="98">
        <f t="shared" si="5"/>
        <v>429965881</v>
      </c>
      <c r="K14" s="110" t="s">
        <v>29</v>
      </c>
      <c r="L14" s="10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>
      <c r="A15" s="111" t="s">
        <v>33</v>
      </c>
      <c r="B15" s="97">
        <v>6.0E8</v>
      </c>
      <c r="C15" s="97">
        <v>1.0E8</v>
      </c>
      <c r="D15" s="98">
        <f t="shared" si="1"/>
        <v>700000000</v>
      </c>
      <c r="E15" s="97">
        <v>6.0E8</v>
      </c>
      <c r="F15" s="97">
        <v>1.0E8</v>
      </c>
      <c r="G15" s="98">
        <f t="shared" si="4"/>
        <v>700000000</v>
      </c>
      <c r="H15" s="97">
        <v>6.0E8</v>
      </c>
      <c r="I15" s="97">
        <v>1.0E8</v>
      </c>
      <c r="J15" s="98">
        <f t="shared" si="5"/>
        <v>700000000</v>
      </c>
      <c r="K15" s="110" t="s">
        <v>118</v>
      </c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>
      <c r="A16" s="96" t="s">
        <v>35</v>
      </c>
      <c r="B16" s="98">
        <f>71040828+96619306</f>
        <v>167660134</v>
      </c>
      <c r="C16" s="97">
        <v>0.0</v>
      </c>
      <c r="D16" s="98">
        <f t="shared" si="1"/>
        <v>167660134</v>
      </c>
      <c r="E16" s="98">
        <f>71040828+96619306</f>
        <v>167660134</v>
      </c>
      <c r="F16" s="97">
        <v>0.0</v>
      </c>
      <c r="G16" s="98">
        <f t="shared" si="4"/>
        <v>167660134</v>
      </c>
      <c r="H16" s="98">
        <f>87764785.67+119364778.28</f>
        <v>207129564</v>
      </c>
      <c r="I16" s="97"/>
      <c r="J16" s="98">
        <f t="shared" si="5"/>
        <v>207129564</v>
      </c>
      <c r="K16" s="110" t="s">
        <v>117</v>
      </c>
      <c r="L16" s="10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ht="15.75" customHeight="1">
      <c r="A17" s="113" t="s">
        <v>36</v>
      </c>
      <c r="B17" s="114">
        <f t="shared" ref="B17:E17" si="6">SUM(B4:B16)</f>
        <v>11327660134</v>
      </c>
      <c r="C17" s="114">
        <f t="shared" si="6"/>
        <v>18585000000</v>
      </c>
      <c r="D17" s="114">
        <f t="shared" si="6"/>
        <v>29912660134</v>
      </c>
      <c r="E17" s="114">
        <f t="shared" si="6"/>
        <v>9182095705</v>
      </c>
      <c r="F17" s="114">
        <f>SUM(F4:F16)+1538167873.18+732396555.54</f>
        <v>20730564429</v>
      </c>
      <c r="G17" s="114">
        <f t="shared" ref="G17:H17" si="7">SUM(G4:G16)</f>
        <v>29912660134</v>
      </c>
      <c r="H17" s="114">
        <f t="shared" si="7"/>
        <v>9965260181</v>
      </c>
      <c r="I17" s="114">
        <f>SUM(I4:I16)+1737220093.498+763083396.37</f>
        <v>25474329888</v>
      </c>
      <c r="J17" s="114">
        <f>SUM(J4:J16)</f>
        <v>35439590069</v>
      </c>
      <c r="K17" s="115"/>
      <c r="L17" s="116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>
      <c r="A18" s="96" t="s">
        <v>37</v>
      </c>
      <c r="B18" s="97">
        <v>0.0</v>
      </c>
      <c r="C18" s="97">
        <v>1.5E9</v>
      </c>
      <c r="D18" s="98">
        <f t="shared" ref="D18:D21" si="8">SUM(B18:C18)</f>
        <v>1500000000</v>
      </c>
      <c r="E18" s="97">
        <v>0.0</v>
      </c>
      <c r="F18" s="97">
        <v>1.5E9</v>
      </c>
      <c r="G18" s="98">
        <f t="shared" ref="G18:G21" si="9">SUM(E18:F18)</f>
        <v>1500000000</v>
      </c>
      <c r="H18" s="97">
        <v>0.0</v>
      </c>
      <c r="I18" s="97">
        <v>1.5E9</v>
      </c>
      <c r="J18" s="98">
        <f t="shared" ref="J18:J21" si="10">SUM(H18:I18)</f>
        <v>1500000000</v>
      </c>
      <c r="K18" s="98"/>
      <c r="L18" s="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>
      <c r="A19" s="96" t="s">
        <v>38</v>
      </c>
      <c r="B19" s="98">
        <v>4.392583672E9</v>
      </c>
      <c r="C19" s="97">
        <v>0.0</v>
      </c>
      <c r="D19" s="98">
        <f t="shared" si="8"/>
        <v>4392583672</v>
      </c>
      <c r="E19" s="97">
        <v>4.392583672E9</v>
      </c>
      <c r="F19" s="97">
        <v>0.0</v>
      </c>
      <c r="G19" s="98">
        <f t="shared" si="9"/>
        <v>4392583672</v>
      </c>
      <c r="H19" s="97">
        <v>4.392583672E9</v>
      </c>
      <c r="I19" s="97">
        <v>0.0</v>
      </c>
      <c r="J19" s="98">
        <f t="shared" si="10"/>
        <v>4392583672</v>
      </c>
      <c r="K19" s="98"/>
      <c r="L19" s="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>
      <c r="A20" s="96" t="s">
        <v>39</v>
      </c>
      <c r="B20" s="98">
        <v>1.774471573E9</v>
      </c>
      <c r="C20" s="97">
        <v>0.0</v>
      </c>
      <c r="D20" s="98">
        <f t="shared" si="8"/>
        <v>1774471573</v>
      </c>
      <c r="E20" s="97">
        <v>1.774471573E9</v>
      </c>
      <c r="F20" s="97">
        <v>0.0</v>
      </c>
      <c r="G20" s="98">
        <f t="shared" si="9"/>
        <v>1774471573</v>
      </c>
      <c r="H20" s="97">
        <v>1.774471573E9</v>
      </c>
      <c r="I20" s="97">
        <v>0.0</v>
      </c>
      <c r="J20" s="98">
        <f t="shared" si="10"/>
        <v>1774471573</v>
      </c>
      <c r="K20" s="98"/>
      <c r="L20" s="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>
      <c r="A21" s="96" t="s">
        <v>40</v>
      </c>
      <c r="B21" s="97">
        <v>0.0</v>
      </c>
      <c r="C21" s="98">
        <v>1.1005195E8</v>
      </c>
      <c r="D21" s="98">
        <f t="shared" si="8"/>
        <v>110051950</v>
      </c>
      <c r="E21" s="97">
        <v>0.0</v>
      </c>
      <c r="F21" s="97">
        <v>1.1005195E8</v>
      </c>
      <c r="G21" s="98">
        <f t="shared" si="9"/>
        <v>110051950</v>
      </c>
      <c r="H21" s="97">
        <v>0.0</v>
      </c>
      <c r="I21" s="97">
        <v>1.1005195E8</v>
      </c>
      <c r="J21" s="98">
        <f t="shared" si="10"/>
        <v>110051950</v>
      </c>
      <c r="K21" s="98"/>
      <c r="L21" s="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ht="15.75" customHeight="1">
      <c r="A22" s="113" t="s">
        <v>41</v>
      </c>
      <c r="B22" s="114">
        <f t="shared" ref="B22:J22" si="11">SUM(B18:B21)</f>
        <v>6167055245</v>
      </c>
      <c r="C22" s="114">
        <f t="shared" si="11"/>
        <v>1610051950</v>
      </c>
      <c r="D22" s="114">
        <f t="shared" si="11"/>
        <v>7777107195</v>
      </c>
      <c r="E22" s="114">
        <f t="shared" si="11"/>
        <v>6167055245</v>
      </c>
      <c r="F22" s="114">
        <f t="shared" si="11"/>
        <v>1610051950</v>
      </c>
      <c r="G22" s="114">
        <f t="shared" si="11"/>
        <v>7777107195</v>
      </c>
      <c r="H22" s="114">
        <f t="shared" si="11"/>
        <v>6167055245</v>
      </c>
      <c r="I22" s="114">
        <f t="shared" si="11"/>
        <v>1610051950</v>
      </c>
      <c r="J22" s="114">
        <f t="shared" si="11"/>
        <v>7777107195</v>
      </c>
      <c r="K22" s="115"/>
      <c r="L22" s="77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ht="15.75" customHeight="1">
      <c r="A23" s="117" t="s">
        <v>42</v>
      </c>
      <c r="B23" s="118">
        <f t="shared" ref="B23:J23" si="12">B17+B22</f>
        <v>17494715379</v>
      </c>
      <c r="C23" s="118">
        <f t="shared" si="12"/>
        <v>20195051950</v>
      </c>
      <c r="D23" s="118">
        <f t="shared" si="12"/>
        <v>37689767329</v>
      </c>
      <c r="E23" s="118">
        <f t="shared" si="12"/>
        <v>15349150950</v>
      </c>
      <c r="F23" s="118">
        <f t="shared" si="12"/>
        <v>22340616379</v>
      </c>
      <c r="G23" s="118">
        <f t="shared" si="12"/>
        <v>37689767329</v>
      </c>
      <c r="H23" s="118">
        <f t="shared" si="12"/>
        <v>16132315426</v>
      </c>
      <c r="I23" s="118">
        <f t="shared" si="12"/>
        <v>27084381838</v>
      </c>
      <c r="J23" s="118">
        <f t="shared" si="12"/>
        <v>43216697264</v>
      </c>
      <c r="K23" s="98"/>
      <c r="L23" s="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ht="15.7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2"/>
      <c r="L25" s="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ht="15.75" customHeight="1">
      <c r="A26" s="48"/>
      <c r="B26" s="48"/>
      <c r="C26" s="48"/>
      <c r="D26" s="48"/>
      <c r="E26" s="48"/>
      <c r="F26" s="50"/>
      <c r="G26" s="48"/>
      <c r="H26" s="48"/>
      <c r="I26" s="50"/>
      <c r="J26" s="48"/>
      <c r="K26" s="2"/>
      <c r="L26" s="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4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4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</sheetData>
  <mergeCells count="5">
    <mergeCell ref="A2:A3"/>
    <mergeCell ref="B2:D2"/>
    <mergeCell ref="E2:G2"/>
    <mergeCell ref="H2:J2"/>
    <mergeCell ref="K2:K3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3.38"/>
    <col customWidth="1" min="2" max="2" width="17.88"/>
    <col customWidth="1" min="3" max="3" width="18.75"/>
    <col customWidth="1" min="4" max="5" width="18.0"/>
    <col customWidth="1" min="6" max="6" width="18.75"/>
    <col customWidth="1" min="7" max="8" width="18.0"/>
    <col customWidth="1" min="9" max="9" width="18.75"/>
    <col customWidth="1" min="10" max="10" width="15.0"/>
    <col customWidth="1" min="11" max="11" width="40.38"/>
    <col customWidth="1" min="12" max="12" width="8.63"/>
    <col customWidth="1" min="13" max="13" width="18.13"/>
    <col customWidth="1" min="14" max="29" width="8.63"/>
  </cols>
  <sheetData>
    <row r="1">
      <c r="A1" s="119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ht="34.5" customHeight="1">
      <c r="A2" s="120" t="s">
        <v>105</v>
      </c>
      <c r="B2" s="121" t="s">
        <v>106</v>
      </c>
      <c r="C2" s="81"/>
      <c r="D2" s="82"/>
      <c r="E2" s="122" t="s">
        <v>119</v>
      </c>
      <c r="F2" s="81"/>
      <c r="G2" s="82"/>
      <c r="H2" s="123" t="s">
        <v>120</v>
      </c>
      <c r="I2" s="81"/>
      <c r="J2" s="82"/>
      <c r="K2" s="120" t="s">
        <v>109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26.25" customHeight="1">
      <c r="A3" s="85"/>
      <c r="B3" s="124" t="s">
        <v>5</v>
      </c>
      <c r="C3" s="124" t="s">
        <v>6</v>
      </c>
      <c r="D3" s="124" t="s">
        <v>7</v>
      </c>
      <c r="E3" s="124" t="s">
        <v>5</v>
      </c>
      <c r="F3" s="124" t="s">
        <v>6</v>
      </c>
      <c r="G3" s="124" t="s">
        <v>7</v>
      </c>
      <c r="H3" s="124" t="s">
        <v>5</v>
      </c>
      <c r="I3" s="124" t="s">
        <v>6</v>
      </c>
      <c r="J3" s="124" t="s">
        <v>7</v>
      </c>
      <c r="K3" s="85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>
      <c r="A4" s="125" t="s">
        <v>8</v>
      </c>
      <c r="B4" s="126">
        <v>0.0</v>
      </c>
      <c r="C4" s="127">
        <v>3.0E9</v>
      </c>
      <c r="D4" s="127">
        <f t="shared" ref="D4:D16" si="1">SUM(B4:C4)</f>
        <v>3000000000</v>
      </c>
      <c r="E4" s="128">
        <v>0.0</v>
      </c>
      <c r="F4" s="129">
        <v>3.0E9</v>
      </c>
      <c r="G4" s="130"/>
      <c r="H4" s="131"/>
      <c r="I4" s="132">
        <f>1766210022.45+1693108143.42</f>
        <v>3459318166</v>
      </c>
      <c r="J4" s="130"/>
      <c r="K4" s="131"/>
      <c r="L4" s="133"/>
      <c r="M4" s="134"/>
      <c r="N4" s="135"/>
      <c r="O4" s="136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>
      <c r="A5" s="137" t="s">
        <v>10</v>
      </c>
      <c r="B5" s="138">
        <v>0.0</v>
      </c>
      <c r="C5" s="139">
        <v>4.4E9</v>
      </c>
      <c r="D5" s="139">
        <f t="shared" si="1"/>
        <v>4400000000</v>
      </c>
      <c r="E5" s="140"/>
      <c r="F5" s="141">
        <v>4.4E9</v>
      </c>
      <c r="G5" s="141">
        <f>SUM(E5:F5)</f>
        <v>4400000000</v>
      </c>
      <c r="H5" s="141">
        <v>0.0</v>
      </c>
      <c r="I5" s="141">
        <f>2000000000+282312603.74+2325834136.37+8387.5+981000000</f>
        <v>5589155128</v>
      </c>
      <c r="J5" s="141">
        <f>SUM(H5:I5)</f>
        <v>5589155128</v>
      </c>
      <c r="K5" s="141" t="s">
        <v>121</v>
      </c>
      <c r="L5" s="142"/>
      <c r="M5" s="142"/>
      <c r="N5" s="142"/>
      <c r="O5" s="13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>
      <c r="A6" s="137" t="s">
        <v>12</v>
      </c>
      <c r="B6" s="143">
        <v>2.375E9</v>
      </c>
      <c r="C6" s="144">
        <v>1.25E8</v>
      </c>
      <c r="D6" s="144">
        <f t="shared" si="1"/>
        <v>2500000000</v>
      </c>
      <c r="E6" s="145">
        <v>1.01394201026E9</v>
      </c>
      <c r="F6" s="145" t="s">
        <v>122</v>
      </c>
      <c r="G6" s="145">
        <v>2.5E9</v>
      </c>
      <c r="H6" s="105">
        <v>1.52410159517E9</v>
      </c>
      <c r="I6" s="105" t="s">
        <v>123</v>
      </c>
      <c r="J6" s="105">
        <v>3.07684132055E9</v>
      </c>
      <c r="K6" s="105" t="s">
        <v>124</v>
      </c>
      <c r="L6" s="146"/>
      <c r="M6" s="147"/>
      <c r="N6" s="146"/>
      <c r="O6" s="146"/>
      <c r="P6" s="146"/>
      <c r="Q6" s="146"/>
      <c r="R6" s="146"/>
      <c r="S6" s="148"/>
      <c r="T6" s="146"/>
      <c r="U6" s="109">
        <v>7.6019465667E8</v>
      </c>
      <c r="V6" s="146"/>
      <c r="W6" s="146"/>
      <c r="X6" s="146"/>
      <c r="Y6" s="146"/>
      <c r="Z6" s="146"/>
      <c r="AA6" s="146"/>
      <c r="AB6" s="146"/>
      <c r="AC6" s="146"/>
    </row>
    <row r="7">
      <c r="A7" s="137" t="s">
        <v>16</v>
      </c>
      <c r="B7" s="143">
        <v>1.5E9</v>
      </c>
      <c r="C7" s="138">
        <v>0.0</v>
      </c>
      <c r="D7" s="139">
        <f t="shared" si="1"/>
        <v>1500000000</v>
      </c>
      <c r="E7" s="145">
        <v>7.6760344446E8</v>
      </c>
      <c r="F7" s="145" t="s">
        <v>113</v>
      </c>
      <c r="G7" s="139">
        <v>1.5E9</v>
      </c>
      <c r="H7" s="139">
        <v>1.08591013566E9</v>
      </c>
      <c r="I7" s="105" t="s">
        <v>125</v>
      </c>
      <c r="J7" s="105">
        <v>1.8461047923328E9</v>
      </c>
      <c r="K7" s="110" t="s">
        <v>51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>
      <c r="A8" s="149" t="s">
        <v>20</v>
      </c>
      <c r="B8" s="138">
        <v>5.0E9</v>
      </c>
      <c r="C8" s="138">
        <v>0.0</v>
      </c>
      <c r="D8" s="139">
        <f t="shared" si="1"/>
        <v>5000000000</v>
      </c>
      <c r="E8" s="138">
        <v>5.0E9</v>
      </c>
      <c r="F8" s="138">
        <v>0.0</v>
      </c>
      <c r="G8" s="139">
        <f t="shared" ref="G8:G16" si="2">SUM(E8:F8)</f>
        <v>5000000000</v>
      </c>
      <c r="H8" s="138">
        <v>5.0E9</v>
      </c>
      <c r="I8" s="138">
        <v>0.0</v>
      </c>
      <c r="J8" s="139">
        <f t="shared" ref="J8:J16" si="3">SUM(H8:I8)</f>
        <v>5000000000</v>
      </c>
      <c r="K8" s="150" t="s">
        <v>21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>
      <c r="A9" s="149" t="s">
        <v>22</v>
      </c>
      <c r="B9" s="138">
        <v>1.55E9</v>
      </c>
      <c r="C9" s="138">
        <v>0.0</v>
      </c>
      <c r="D9" s="139">
        <f t="shared" si="1"/>
        <v>1550000000</v>
      </c>
      <c r="E9" s="138">
        <v>1.55E9</v>
      </c>
      <c r="F9" s="138">
        <v>0.0</v>
      </c>
      <c r="G9" s="139">
        <f t="shared" si="2"/>
        <v>1550000000</v>
      </c>
      <c r="H9" s="138">
        <v>1.55E9</v>
      </c>
      <c r="I9" s="138">
        <v>0.0</v>
      </c>
      <c r="J9" s="139">
        <f t="shared" si="3"/>
        <v>1550000000</v>
      </c>
      <c r="K9" s="150" t="s">
        <v>115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>
      <c r="A10" s="137" t="s">
        <v>24</v>
      </c>
      <c r="B10" s="138">
        <v>0.0</v>
      </c>
      <c r="C10" s="138">
        <v>2.05E9</v>
      </c>
      <c r="D10" s="139">
        <f t="shared" si="1"/>
        <v>2050000000</v>
      </c>
      <c r="E10" s="138">
        <v>0.0</v>
      </c>
      <c r="F10" s="138">
        <v>2.05E9</v>
      </c>
      <c r="G10" s="139">
        <f t="shared" si="2"/>
        <v>2050000000</v>
      </c>
      <c r="H10" s="138">
        <v>0.0</v>
      </c>
      <c r="I10" s="138">
        <v>2.84050497074E9</v>
      </c>
      <c r="J10" s="139">
        <f t="shared" si="3"/>
        <v>2840504971</v>
      </c>
      <c r="K10" s="150" t="s">
        <v>25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>
      <c r="A11" s="137" t="s">
        <v>26</v>
      </c>
      <c r="B11" s="138">
        <v>0.0</v>
      </c>
      <c r="C11" s="138">
        <v>4.95E9</v>
      </c>
      <c r="D11" s="139">
        <f t="shared" si="1"/>
        <v>4950000000</v>
      </c>
      <c r="E11" s="138">
        <v>0.0</v>
      </c>
      <c r="F11" s="138">
        <v>4.95E9</v>
      </c>
      <c r="G11" s="139">
        <f t="shared" si="2"/>
        <v>4950000000</v>
      </c>
      <c r="H11" s="138">
        <v>0.0</v>
      </c>
      <c r="I11" s="138">
        <v>6.53587629615E9</v>
      </c>
      <c r="J11" s="139">
        <f t="shared" si="3"/>
        <v>6535876296</v>
      </c>
      <c r="K11" s="150" t="s">
        <v>126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>
      <c r="A12" s="137" t="s">
        <v>28</v>
      </c>
      <c r="B12" s="138">
        <v>0.0</v>
      </c>
      <c r="C12" s="138">
        <v>3.65E9</v>
      </c>
      <c r="D12" s="139">
        <f t="shared" si="1"/>
        <v>3650000000</v>
      </c>
      <c r="E12" s="138">
        <v>0.0</v>
      </c>
      <c r="F12" s="138">
        <v>3.65E9</v>
      </c>
      <c r="G12" s="139">
        <f t="shared" si="2"/>
        <v>3650000000</v>
      </c>
      <c r="H12" s="138">
        <v>0.0</v>
      </c>
      <c r="I12" s="138">
        <v>4.43289183467E9</v>
      </c>
      <c r="J12" s="139">
        <f t="shared" si="3"/>
        <v>4432891835</v>
      </c>
      <c r="K12" s="150" t="s">
        <v>29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>
      <c r="A13" s="137" t="s">
        <v>30</v>
      </c>
      <c r="B13" s="139">
        <v>1.35E8</v>
      </c>
      <c r="C13" s="138">
        <v>0.0</v>
      </c>
      <c r="D13" s="139">
        <f t="shared" si="1"/>
        <v>135000000</v>
      </c>
      <c r="E13" s="138">
        <v>1.35E8</v>
      </c>
      <c r="F13" s="138">
        <v>0.0</v>
      </c>
      <c r="G13" s="139">
        <f t="shared" si="2"/>
        <v>135000000</v>
      </c>
      <c r="H13" s="138">
        <v>1.6614943131E8</v>
      </c>
      <c r="I13" s="138">
        <v>0.0</v>
      </c>
      <c r="J13" s="139">
        <f t="shared" si="3"/>
        <v>166149431.3</v>
      </c>
      <c r="K13" s="150" t="s">
        <v>127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>
      <c r="A14" s="137" t="s">
        <v>32</v>
      </c>
      <c r="B14" s="138">
        <v>0.0</v>
      </c>
      <c r="C14" s="139">
        <v>3.1E8</v>
      </c>
      <c r="D14" s="139">
        <f t="shared" si="1"/>
        <v>310000000</v>
      </c>
      <c r="E14" s="138">
        <v>0.0</v>
      </c>
      <c r="F14" s="138">
        <v>3.1E8</v>
      </c>
      <c r="G14" s="139">
        <f t="shared" si="2"/>
        <v>310000000</v>
      </c>
      <c r="H14" s="138">
        <v>0.0</v>
      </c>
      <c r="I14" s="138">
        <v>4.2653898154E8</v>
      </c>
      <c r="J14" s="139">
        <f t="shared" si="3"/>
        <v>426538981.5</v>
      </c>
      <c r="K14" s="150" t="s">
        <v>29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>
      <c r="A15" s="149" t="s">
        <v>33</v>
      </c>
      <c r="B15" s="138">
        <v>6.0E8</v>
      </c>
      <c r="C15" s="138">
        <v>1.0E8</v>
      </c>
      <c r="D15" s="139">
        <f t="shared" si="1"/>
        <v>700000000</v>
      </c>
      <c r="E15" s="138">
        <v>6.0E8</v>
      </c>
      <c r="F15" s="138">
        <v>1.0E8</v>
      </c>
      <c r="G15" s="139">
        <f t="shared" si="2"/>
        <v>700000000</v>
      </c>
      <c r="H15" s="138">
        <v>6.0E8</v>
      </c>
      <c r="I15" s="138">
        <v>1.0E8</v>
      </c>
      <c r="J15" s="139">
        <f t="shared" si="3"/>
        <v>700000000</v>
      </c>
      <c r="K15" s="150" t="s">
        <v>128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>
      <c r="A16" s="137" t="s">
        <v>35</v>
      </c>
      <c r="B16" s="139">
        <f>71040828+96619306</f>
        <v>167660134</v>
      </c>
      <c r="C16" s="138">
        <v>0.0</v>
      </c>
      <c r="D16" s="139">
        <f t="shared" si="1"/>
        <v>167660134</v>
      </c>
      <c r="E16" s="139">
        <f>71040828+96619306</f>
        <v>167660134</v>
      </c>
      <c r="F16" s="138">
        <v>0.0</v>
      </c>
      <c r="G16" s="139">
        <f t="shared" si="2"/>
        <v>167660134</v>
      </c>
      <c r="H16" s="139"/>
      <c r="I16" s="138">
        <f>87432542.01+118912909.23</f>
        <v>206345451.2</v>
      </c>
      <c r="J16" s="139">
        <f t="shared" si="3"/>
        <v>206345451.2</v>
      </c>
      <c r="K16" s="150" t="s">
        <v>129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ht="15.75" customHeight="1">
      <c r="A17" s="151" t="s">
        <v>36</v>
      </c>
      <c r="B17" s="152">
        <f t="shared" ref="B17:E17" si="4">SUM(B4:B16)</f>
        <v>11327660134</v>
      </c>
      <c r="C17" s="152">
        <f t="shared" si="4"/>
        <v>18585000000</v>
      </c>
      <c r="D17" s="152">
        <f t="shared" si="4"/>
        <v>29912660134</v>
      </c>
      <c r="E17" s="152">
        <f t="shared" si="4"/>
        <v>9234205589</v>
      </c>
      <c r="F17" s="152">
        <f>SUM(F4:F16)+1486057989.74+732396555.54</f>
        <v>20678454545</v>
      </c>
      <c r="G17" s="152">
        <f t="shared" ref="G17:H17" si="5">SUM(G4:G16)</f>
        <v>26912660134</v>
      </c>
      <c r="H17" s="152">
        <f t="shared" si="5"/>
        <v>9926161162</v>
      </c>
      <c r="I17" s="152">
        <f>SUM(I4:I16)+1552739725.38+760194656.67</f>
        <v>25903565210</v>
      </c>
      <c r="J17" s="152">
        <f>SUM(J4:J16)</f>
        <v>32370408206</v>
      </c>
      <c r="K17" s="153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</row>
    <row r="18">
      <c r="A18" s="137" t="s">
        <v>37</v>
      </c>
      <c r="B18" s="138">
        <v>0.0</v>
      </c>
      <c r="C18" s="138">
        <v>1.5E9</v>
      </c>
      <c r="D18" s="139">
        <f t="shared" ref="D18:D21" si="6">SUM(B18:C18)</f>
        <v>1500000000</v>
      </c>
      <c r="E18" s="138">
        <v>0.0</v>
      </c>
      <c r="F18" s="138">
        <v>1.5E9</v>
      </c>
      <c r="G18" s="139">
        <f t="shared" ref="G18:G21" si="7">SUM(E18:F18)</f>
        <v>1500000000</v>
      </c>
      <c r="H18" s="138">
        <v>0.0</v>
      </c>
      <c r="I18" s="138">
        <v>1.5E9</v>
      </c>
      <c r="J18" s="139">
        <f t="shared" ref="J18:J21" si="8">SUM(H18:I18)</f>
        <v>1500000000</v>
      </c>
      <c r="K18" s="139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>
      <c r="A19" s="137" t="s">
        <v>38</v>
      </c>
      <c r="B19" s="139">
        <v>4.392583672E9</v>
      </c>
      <c r="C19" s="138">
        <v>0.0</v>
      </c>
      <c r="D19" s="139">
        <f t="shared" si="6"/>
        <v>4392583672</v>
      </c>
      <c r="E19" s="138">
        <v>4.392583672E9</v>
      </c>
      <c r="F19" s="138">
        <v>0.0</v>
      </c>
      <c r="G19" s="139">
        <f t="shared" si="7"/>
        <v>4392583672</v>
      </c>
      <c r="H19" s="138">
        <v>4.392583672E9</v>
      </c>
      <c r="I19" s="138">
        <v>0.0</v>
      </c>
      <c r="J19" s="139">
        <f t="shared" si="8"/>
        <v>4392583672</v>
      </c>
      <c r="K19" s="139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>
      <c r="A20" s="137" t="s">
        <v>39</v>
      </c>
      <c r="B20" s="139">
        <v>1.774471573E9</v>
      </c>
      <c r="C20" s="138">
        <v>0.0</v>
      </c>
      <c r="D20" s="139">
        <f t="shared" si="6"/>
        <v>1774471573</v>
      </c>
      <c r="E20" s="138">
        <v>1.774471573E9</v>
      </c>
      <c r="F20" s="138">
        <v>0.0</v>
      </c>
      <c r="G20" s="139">
        <f t="shared" si="7"/>
        <v>1774471573</v>
      </c>
      <c r="H20" s="138">
        <v>1.774471573E9</v>
      </c>
      <c r="I20" s="138">
        <v>0.0</v>
      </c>
      <c r="J20" s="139">
        <f t="shared" si="8"/>
        <v>1774471573</v>
      </c>
      <c r="K20" s="139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>
      <c r="A21" s="137" t="s">
        <v>40</v>
      </c>
      <c r="B21" s="138">
        <v>0.0</v>
      </c>
      <c r="C21" s="139">
        <v>1.1005195E8</v>
      </c>
      <c r="D21" s="139">
        <f t="shared" si="6"/>
        <v>110051950</v>
      </c>
      <c r="E21" s="138">
        <v>0.0</v>
      </c>
      <c r="F21" s="138">
        <v>1.1005195E8</v>
      </c>
      <c r="G21" s="139">
        <f t="shared" si="7"/>
        <v>110051950</v>
      </c>
      <c r="H21" s="138">
        <v>0.0</v>
      </c>
      <c r="I21" s="138">
        <v>1.1005195E8</v>
      </c>
      <c r="J21" s="139">
        <f t="shared" si="8"/>
        <v>110051950</v>
      </c>
      <c r="K21" s="139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ht="15.75" customHeight="1">
      <c r="A22" s="151" t="s">
        <v>41</v>
      </c>
      <c r="B22" s="152">
        <f t="shared" ref="B22:J22" si="9">SUM(B18:B21)</f>
        <v>6167055245</v>
      </c>
      <c r="C22" s="152">
        <f t="shared" si="9"/>
        <v>1610051950</v>
      </c>
      <c r="D22" s="152">
        <f t="shared" si="9"/>
        <v>7777107195</v>
      </c>
      <c r="E22" s="152">
        <f t="shared" si="9"/>
        <v>6167055245</v>
      </c>
      <c r="F22" s="152">
        <f t="shared" si="9"/>
        <v>1610051950</v>
      </c>
      <c r="G22" s="152">
        <f t="shared" si="9"/>
        <v>7777107195</v>
      </c>
      <c r="H22" s="152">
        <f t="shared" si="9"/>
        <v>6167055245</v>
      </c>
      <c r="I22" s="152">
        <f t="shared" si="9"/>
        <v>1610051950</v>
      </c>
      <c r="J22" s="152">
        <f t="shared" si="9"/>
        <v>7777107195</v>
      </c>
      <c r="K22" s="153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</row>
    <row r="23" ht="15.75" customHeight="1">
      <c r="A23" s="154" t="s">
        <v>42</v>
      </c>
      <c r="B23" s="155">
        <f t="shared" ref="B23:J23" si="10">B17+B22</f>
        <v>17494715379</v>
      </c>
      <c r="C23" s="155">
        <f t="shared" si="10"/>
        <v>20195051950</v>
      </c>
      <c r="D23" s="155">
        <f t="shared" si="10"/>
        <v>37689767329</v>
      </c>
      <c r="E23" s="155">
        <f t="shared" si="10"/>
        <v>15401260834</v>
      </c>
      <c r="F23" s="155">
        <f t="shared" si="10"/>
        <v>22288506495</v>
      </c>
      <c r="G23" s="155">
        <f t="shared" si="10"/>
        <v>34689767329</v>
      </c>
      <c r="H23" s="155">
        <f t="shared" si="10"/>
        <v>16093216407</v>
      </c>
      <c r="I23" s="155">
        <f t="shared" si="10"/>
        <v>27513617160</v>
      </c>
      <c r="J23" s="155">
        <f t="shared" si="10"/>
        <v>40147515401</v>
      </c>
      <c r="K23" s="139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ht="15.75" customHeight="1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ht="15.75" customHeight="1">
      <c r="A26" s="156"/>
      <c r="B26" s="156"/>
      <c r="C26" s="156"/>
      <c r="D26" s="156"/>
      <c r="E26" s="156"/>
      <c r="F26" s="50"/>
      <c r="G26" s="156"/>
      <c r="H26" s="156"/>
      <c r="I26" s="50"/>
      <c r="J26" s="156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</row>
    <row r="1000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ht="15.7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</row>
    <row r="1002" ht="15.7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</row>
  </sheetData>
  <mergeCells count="10">
    <mergeCell ref="I4:K4"/>
    <mergeCell ref="L4:N4"/>
    <mergeCell ref="O4:O5"/>
    <mergeCell ref="A2:A3"/>
    <mergeCell ref="B2:D2"/>
    <mergeCell ref="E2:G2"/>
    <mergeCell ref="H2:J2"/>
    <mergeCell ref="K2:K3"/>
    <mergeCell ref="E4:E5"/>
    <mergeCell ref="F4:H4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5.25"/>
  </cols>
  <sheetData>
    <row r="1">
      <c r="A1" s="157">
        <v>1.79728112378E9</v>
      </c>
    </row>
    <row r="2">
      <c r="A2" s="157">
        <v>1.72681379704E9</v>
      </c>
    </row>
    <row r="3">
      <c r="A3" s="158">
        <f>A1-A2</f>
        <v>70467326.74</v>
      </c>
    </row>
    <row r="4">
      <c r="A4" s="159">
        <v>1.49051716005E9</v>
      </c>
    </row>
    <row r="5">
      <c r="A5" s="158">
        <f>A4+A3</f>
        <v>1560984487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2024-04-10T14:12:07Z</dcterms:created>
  <dc:creator>Karen Rodrigues</dc:creator>
</cp:coreProperties>
</file>